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2"/>
  </bookViews>
  <sheets>
    <sheet name="marzotto" sheetId="1" r:id="rId1"/>
    <sheet name="olivetti" sheetId="2" r:id="rId2"/>
    <sheet name="trenitalia" sheetId="4" r:id="rId3"/>
  </sheets>
  <calcPr calcId="145621"/>
</workbook>
</file>

<file path=xl/calcChain.xml><?xml version="1.0" encoding="utf-8"?>
<calcChain xmlns="http://schemas.openxmlformats.org/spreadsheetml/2006/main">
  <c r="D39" i="4" l="1"/>
  <c r="B39" i="4"/>
  <c r="D38" i="4"/>
  <c r="B38" i="4"/>
  <c r="D37" i="4"/>
  <c r="B37" i="4"/>
  <c r="D36" i="4"/>
  <c r="B36" i="4"/>
  <c r="D35" i="4"/>
  <c r="B35" i="4"/>
  <c r="D34" i="4"/>
  <c r="B34" i="4"/>
  <c r="D31" i="4"/>
  <c r="B31" i="4"/>
  <c r="D28" i="4"/>
  <c r="E28" i="4" s="1"/>
  <c r="B27" i="4"/>
  <c r="C27" i="4"/>
  <c r="D27" i="4"/>
  <c r="D26" i="4"/>
  <c r="E26" i="4" s="1"/>
  <c r="D25" i="4"/>
  <c r="E25" i="4" s="1"/>
  <c r="D24" i="4"/>
  <c r="E24" i="4" s="1"/>
  <c r="B30" i="4"/>
  <c r="B28" i="4"/>
  <c r="C28" i="4" s="1"/>
  <c r="B26" i="4"/>
  <c r="C26" i="4" s="1"/>
  <c r="B25" i="4"/>
  <c r="C25" i="4" s="1"/>
  <c r="B24" i="4"/>
  <c r="D23" i="4"/>
  <c r="E23" i="4" s="1"/>
  <c r="D22" i="4"/>
  <c r="D21" i="4"/>
  <c r="B20" i="4"/>
  <c r="C20" i="4" s="1"/>
  <c r="D20" i="4"/>
  <c r="E20" i="4" s="1"/>
  <c r="B23" i="4"/>
  <c r="C23" i="4" s="1"/>
  <c r="D9" i="4"/>
  <c r="B9" i="4"/>
  <c r="D3" i="4"/>
  <c r="D2" i="4"/>
  <c r="B3" i="4"/>
  <c r="B2" i="4"/>
  <c r="E21" i="4"/>
  <c r="E22" i="4"/>
  <c r="E27" i="4"/>
  <c r="B5" i="4"/>
  <c r="C39" i="1"/>
  <c r="E40" i="2"/>
  <c r="C40" i="2"/>
  <c r="C35" i="2"/>
  <c r="C34" i="2"/>
  <c r="C32" i="2"/>
  <c r="E39" i="2"/>
  <c r="E38" i="2"/>
  <c r="E37" i="2"/>
  <c r="E36" i="2"/>
  <c r="E35" i="2"/>
  <c r="E34" i="2"/>
  <c r="E33" i="2"/>
  <c r="C33" i="2"/>
  <c r="E32" i="2"/>
  <c r="E31" i="2"/>
  <c r="E28" i="2"/>
  <c r="F28" i="2" s="1"/>
  <c r="E27" i="2"/>
  <c r="F27" i="2" s="1"/>
  <c r="E26" i="2"/>
  <c r="F26" i="2"/>
  <c r="F25" i="2"/>
  <c r="F24" i="2"/>
  <c r="E25" i="2"/>
  <c r="E24" i="2"/>
  <c r="E23" i="2"/>
  <c r="F23" i="2" s="1"/>
  <c r="E22" i="2"/>
  <c r="F22" i="2" s="1"/>
  <c r="E21" i="2"/>
  <c r="F21" i="2"/>
  <c r="E20" i="2"/>
  <c r="F20" i="2" s="1"/>
  <c r="E11" i="2"/>
  <c r="E9" i="2"/>
  <c r="E8" i="2"/>
  <c r="E6" i="2"/>
  <c r="E4" i="2"/>
  <c r="E2" i="2"/>
  <c r="E3" i="2" s="1"/>
  <c r="C38" i="2"/>
  <c r="C37" i="2"/>
  <c r="C36" i="2"/>
  <c r="C31" i="2"/>
  <c r="C28" i="2"/>
  <c r="C27" i="2"/>
  <c r="C26" i="2"/>
  <c r="C25" i="2"/>
  <c r="B29" i="4" l="1"/>
  <c r="B21" i="4"/>
  <c r="B7" i="4"/>
  <c r="C4" i="4" s="1"/>
  <c r="B15" i="4"/>
  <c r="C24" i="4"/>
  <c r="D15" i="4"/>
  <c r="B11" i="4"/>
  <c r="D29" i="4"/>
  <c r="D30" i="4" s="1"/>
  <c r="D11" i="4"/>
  <c r="E29" i="2"/>
  <c r="E30" i="2" s="1"/>
  <c r="C24" i="2"/>
  <c r="C23" i="1"/>
  <c r="E23" i="1"/>
  <c r="E38" i="1"/>
  <c r="C10" i="1"/>
  <c r="E15" i="2"/>
  <c r="E7" i="2"/>
  <c r="F3" i="2" s="1"/>
  <c r="E5" i="2"/>
  <c r="C21" i="4" l="1"/>
  <c r="B22" i="4"/>
  <c r="C22" i="4" s="1"/>
  <c r="B33" i="4" s="1"/>
  <c r="C7" i="4"/>
  <c r="C6" i="4"/>
  <c r="B10" i="4"/>
  <c r="B18" i="4" s="1"/>
  <c r="C5" i="4"/>
  <c r="C2" i="4"/>
  <c r="C3" i="4"/>
  <c r="D10" i="4"/>
  <c r="D12" i="4" s="1"/>
  <c r="D32" i="4"/>
  <c r="D33" i="4"/>
  <c r="D5" i="4"/>
  <c r="D7" i="4"/>
  <c r="F2" i="2"/>
  <c r="F7" i="2"/>
  <c r="F6" i="2"/>
  <c r="F4" i="2"/>
  <c r="F5" i="2"/>
  <c r="D24" i="2"/>
  <c r="D28" i="2"/>
  <c r="D27" i="2"/>
  <c r="D26" i="2"/>
  <c r="D25" i="2"/>
  <c r="C34" i="1"/>
  <c r="E34" i="1"/>
  <c r="E33" i="1"/>
  <c r="C33" i="1"/>
  <c r="E39" i="1"/>
  <c r="E37" i="1"/>
  <c r="E36" i="1"/>
  <c r="E35" i="1"/>
  <c r="C32" i="1"/>
  <c r="E32" i="1"/>
  <c r="E31" i="1"/>
  <c r="E30" i="1"/>
  <c r="E28" i="1"/>
  <c r="E29" i="1" s="1"/>
  <c r="E27" i="1"/>
  <c r="F27" i="1"/>
  <c r="F26" i="1"/>
  <c r="E26" i="1"/>
  <c r="F25" i="1"/>
  <c r="E25" i="1"/>
  <c r="F24" i="1"/>
  <c r="E24" i="1"/>
  <c r="F23" i="1"/>
  <c r="F22" i="1"/>
  <c r="F21" i="1"/>
  <c r="F20" i="1"/>
  <c r="E21" i="1"/>
  <c r="E22" i="1" s="1"/>
  <c r="E20" i="1"/>
  <c r="B32" i="4" l="1"/>
  <c r="B17" i="4"/>
  <c r="B13" i="4"/>
  <c r="C11" i="4" s="1"/>
  <c r="B19" i="4"/>
  <c r="B12" i="4"/>
  <c r="D18" i="4"/>
  <c r="D13" i="4"/>
  <c r="E13" i="4" s="1"/>
  <c r="B16" i="4"/>
  <c r="D17" i="4"/>
  <c r="E4" i="4"/>
  <c r="E7" i="4"/>
  <c r="E6" i="4"/>
  <c r="E2" i="4"/>
  <c r="D16" i="4"/>
  <c r="E5" i="4"/>
  <c r="D19" i="4"/>
  <c r="D14" i="4"/>
  <c r="E3" i="4"/>
  <c r="C29" i="2"/>
  <c r="C30" i="2" s="1"/>
  <c r="C23" i="2"/>
  <c r="C20" i="2"/>
  <c r="C9" i="2"/>
  <c r="C3" i="2"/>
  <c r="C2" i="2"/>
  <c r="C8" i="4" l="1"/>
  <c r="E12" i="4"/>
  <c r="E9" i="4"/>
  <c r="C9" i="4"/>
  <c r="C13" i="4"/>
  <c r="E8" i="4"/>
  <c r="C10" i="4"/>
  <c r="B14" i="4"/>
  <c r="C12" i="4"/>
  <c r="E10" i="4"/>
  <c r="E11" i="4"/>
  <c r="D20" i="2"/>
  <c r="C21" i="2"/>
  <c r="D23" i="2"/>
  <c r="C7" i="2"/>
  <c r="C5" i="2"/>
  <c r="C15" i="2"/>
  <c r="D40" i="4" l="1"/>
  <c r="B40" i="4"/>
  <c r="C22" i="2"/>
  <c r="D22" i="2" s="1"/>
  <c r="D21" i="2"/>
  <c r="C10" i="2"/>
  <c r="C18" i="2" s="1"/>
  <c r="E10" i="2"/>
  <c r="C16" i="2"/>
  <c r="D3" i="2"/>
  <c r="C17" i="2"/>
  <c r="D2" i="2"/>
  <c r="D5" i="2"/>
  <c r="C19" i="2"/>
  <c r="C11" i="2"/>
  <c r="E9" i="1"/>
  <c r="E11" i="1" s="1"/>
  <c r="E2" i="1"/>
  <c r="E15" i="1" s="1"/>
  <c r="C13" i="2" l="1"/>
  <c r="C12" i="2"/>
  <c r="C39" i="2" s="1"/>
  <c r="D11" i="2"/>
  <c r="E18" i="2"/>
  <c r="E12" i="2"/>
  <c r="E13" i="2"/>
  <c r="F10" i="2"/>
  <c r="E16" i="2"/>
  <c r="E19" i="2"/>
  <c r="E17" i="2"/>
  <c r="D8" i="2"/>
  <c r="D6" i="2"/>
  <c r="D7" i="2"/>
  <c r="D4" i="2"/>
  <c r="E3" i="1"/>
  <c r="E5" i="1" s="1"/>
  <c r="C37" i="1"/>
  <c r="C36" i="1"/>
  <c r="C30" i="1"/>
  <c r="C27" i="1"/>
  <c r="C26" i="1"/>
  <c r="D26" i="1" s="1"/>
  <c r="C25" i="1"/>
  <c r="C24" i="1"/>
  <c r="D24" i="1" s="1"/>
  <c r="D27" i="1"/>
  <c r="D23" i="1"/>
  <c r="C20" i="1"/>
  <c r="D20" i="1" s="1"/>
  <c r="C9" i="1"/>
  <c r="C3" i="1"/>
  <c r="C2" i="1"/>
  <c r="F11" i="2" l="1"/>
  <c r="F13" i="2"/>
  <c r="F9" i="2"/>
  <c r="F8" i="2"/>
  <c r="C14" i="2"/>
  <c r="E14" i="2"/>
  <c r="F12" i="2"/>
  <c r="D10" i="2"/>
  <c r="D13" i="2"/>
  <c r="D9" i="2"/>
  <c r="D12" i="2"/>
  <c r="C5" i="1"/>
  <c r="D5" i="1" s="1"/>
  <c r="C18" i="1"/>
  <c r="C21" i="1"/>
  <c r="C22" i="1" s="1"/>
  <c r="C31" i="1" s="1"/>
  <c r="C7" i="1"/>
  <c r="D7" i="1" s="1"/>
  <c r="C17" i="1"/>
  <c r="D2" i="1"/>
  <c r="D6" i="1"/>
  <c r="D4" i="1"/>
  <c r="C35" i="1"/>
  <c r="C28" i="1"/>
  <c r="C29" i="1" s="1"/>
  <c r="C11" i="1"/>
  <c r="C15" i="1"/>
  <c r="C12" i="1"/>
  <c r="C13" i="1"/>
  <c r="E7" i="1"/>
  <c r="D25" i="1"/>
  <c r="C16" i="1" l="1"/>
  <c r="D21" i="1"/>
  <c r="D22" i="1"/>
  <c r="C19" i="1"/>
  <c r="D3" i="1"/>
  <c r="E10" i="1"/>
  <c r="F6" i="1"/>
  <c r="F7" i="1"/>
  <c r="F4" i="1"/>
  <c r="F2" i="1"/>
  <c r="D12" i="1"/>
  <c r="D13" i="1"/>
  <c r="D8" i="1"/>
  <c r="F5" i="1"/>
  <c r="D11" i="1"/>
  <c r="D9" i="1"/>
  <c r="D10" i="1"/>
  <c r="F3" i="1"/>
  <c r="C38" i="1"/>
  <c r="C14" i="1"/>
  <c r="E12" i="1" l="1"/>
  <c r="E13" i="1"/>
  <c r="E18" i="1"/>
  <c r="E16" i="1"/>
  <c r="E17" i="1"/>
  <c r="E19" i="1"/>
  <c r="F9" i="1" l="1"/>
  <c r="F13" i="1"/>
  <c r="F8" i="1"/>
  <c r="F11" i="1"/>
  <c r="F10" i="1"/>
  <c r="E14" i="1"/>
  <c r="F12" i="1"/>
</calcChain>
</file>

<file path=xl/sharedStrings.xml><?xml version="1.0" encoding="utf-8"?>
<sst xmlns="http://schemas.openxmlformats.org/spreadsheetml/2006/main" count="255" uniqueCount="166">
  <si>
    <t>AF</t>
  </si>
  <si>
    <t>AC</t>
  </si>
  <si>
    <t>RD</t>
  </si>
  <si>
    <t>LI</t>
  </si>
  <si>
    <t>LD</t>
  </si>
  <si>
    <t>CI</t>
  </si>
  <si>
    <t>CN</t>
  </si>
  <si>
    <t>PF</t>
  </si>
  <si>
    <t>PC</t>
  </si>
  <si>
    <t>CT</t>
  </si>
  <si>
    <t>CA</t>
  </si>
  <si>
    <t>MS</t>
  </si>
  <si>
    <t>MT</t>
  </si>
  <si>
    <t>CCN</t>
  </si>
  <si>
    <t>CR</t>
  </si>
  <si>
    <t>QR</t>
  </si>
  <si>
    <t>VA</t>
  </si>
  <si>
    <t>MOL</t>
  </si>
  <si>
    <t>MON</t>
  </si>
  <si>
    <t>MP</t>
  </si>
  <si>
    <t>Debiti</t>
  </si>
  <si>
    <t>Crediti</t>
  </si>
  <si>
    <t>ROI</t>
  </si>
  <si>
    <t>ROS</t>
  </si>
  <si>
    <t>IRCIO</t>
  </si>
  <si>
    <t>IRCI</t>
  </si>
  <si>
    <t>CIO</t>
  </si>
  <si>
    <t>LD + LI - PC = 344.012 + 238 - 606.741</t>
  </si>
  <si>
    <t>CN - AF = 377.730 - 436.350</t>
  </si>
  <si>
    <t>CT / CN = 738.505 / 377.730</t>
  </si>
  <si>
    <t>i</t>
  </si>
  <si>
    <t>0 + 436.545 - 633 + 78 + 360 + 0</t>
  </si>
  <si>
    <t>1.116.235 - 436.350</t>
  </si>
  <si>
    <t>679.885 - 335.635 - 238</t>
  </si>
  <si>
    <t>128.880 + 500 + 1.662 + 721 + 1</t>
  </si>
  <si>
    <t>1.116.235 - 377.730 - 131.764</t>
  </si>
  <si>
    <t>377.730 + 131.764</t>
  </si>
  <si>
    <t>131.764 + 606.741</t>
  </si>
  <si>
    <t>AC - PC = 679.885 - 606.741</t>
  </si>
  <si>
    <t>AC / PC = 679.885 / 606.741</t>
  </si>
  <si>
    <t>(LD + LI) / PC = (344.012 + 238) / 606.741</t>
  </si>
  <si>
    <t>VA - Costo personale = 442.769 - 306.374</t>
  </si>
  <si>
    <t>MOL - Ammort e Accant = 136.395 - 63.454 - 4.641 - 0</t>
  </si>
  <si>
    <t>CE</t>
  </si>
  <si>
    <t>CM</t>
  </si>
  <si>
    <t>CE - Debiti + Crediti = 124 - 101 + 86</t>
  </si>
  <si>
    <t>Debiti v/ fornitori / Acquisti = 205.150 / (465.399 + 275.013) * 365</t>
  </si>
  <si>
    <t>Giac media SL / Costi produz = (161.856 + 128.229) / 2 / 1.117.823 * 365</t>
  </si>
  <si>
    <t>Produz</t>
  </si>
  <si>
    <t>MP + Produz + PF = 38 + 47 + 38</t>
  </si>
  <si>
    <t>Giac media PF / Costi produz = (116.597 + 117.984) / 2 / 1.117.823 * 365</t>
  </si>
  <si>
    <t>Ricavi operativi - Costi esterni = 1.138.271 + 36.229 + 539 - 465.399 + 10.146 - 275.013 - 2.004</t>
  </si>
  <si>
    <t>MON / CIO = 68.300 / 932.519 * 100</t>
  </si>
  <si>
    <t>MON / Vendite = 68.300 / 1.138.271 * 100</t>
  </si>
  <si>
    <t>CI - Immob fin - Att fin non immob - Disponib = 1.116.235 - 183.478 - 0 - 238</t>
  </si>
  <si>
    <t>ROA</t>
  </si>
  <si>
    <t>ROE</t>
  </si>
  <si>
    <t>ROD</t>
  </si>
  <si>
    <t>Utile esercizio / Capitale proprio = 36.044 / 377.730 * 100</t>
  </si>
  <si>
    <t>Gest operativa, atipica e patrimoniale / CI = (67.786 + 29.894 + 15.766) / 1.116.235 * 100</t>
  </si>
  <si>
    <t>Oneri finanziari / (Debiti - deb v/ fornitori) = 47.394 / (589.479 - 205.150)</t>
  </si>
  <si>
    <t>ROD'</t>
  </si>
  <si>
    <t>Oneri finanziari / CT = 47.394 / 738.505</t>
  </si>
  <si>
    <t>WACC</t>
  </si>
  <si>
    <t>3.266.030-227.593-265.727</t>
  </si>
  <si>
    <t>265.727</t>
  </si>
  <si>
    <t>227.593</t>
  </si>
  <si>
    <t>0+2.386.428-14.353+0+0</t>
  </si>
  <si>
    <t>5.638.105-2.372.075</t>
  </si>
  <si>
    <t>3.040.161</t>
  </si>
  <si>
    <t>187.187+1.024.286+0</t>
  </si>
  <si>
    <t>5.638.105-3.040.161-1.211.473</t>
  </si>
  <si>
    <t>CF</t>
  </si>
  <si>
    <t>PF + PC = 1.211.473+1.386.471</t>
  </si>
  <si>
    <t>CN + PF = 3.9040.161+1.211.473</t>
  </si>
  <si>
    <t>buona solidità</t>
  </si>
  <si>
    <t>buona solvibilità</t>
  </si>
  <si>
    <t>poca produzione, molti servizi</t>
  </si>
  <si>
    <t>Atipica</t>
  </si>
  <si>
    <t>CT / CN = 2.597.944 / 3.040.161</t>
  </si>
  <si>
    <t>CN - AF = 3.040.161 - 2.372.075</t>
  </si>
  <si>
    <t>LD + LI - PC = 2.772.710 + 265.727 - 1.386.471</t>
  </si>
  <si>
    <t>AC - PC = 3.266.030 - 1.386.471</t>
  </si>
  <si>
    <t>AC / PC = 3.266.030 / 1.386.471</t>
  </si>
  <si>
    <t>(LD + LI) / PC = (2.772.710 + 265.727) / 1.386.471</t>
  </si>
  <si>
    <t>VA - Costo personale = 583.110 - 4.55.419</t>
  </si>
  <si>
    <t>MOL - Ammort e Accant = 127.691 - 164.312 -51.754 - 0</t>
  </si>
  <si>
    <t>307.085-107.042</t>
  </si>
  <si>
    <t>Ricavi op - Costi est = 3.120.929 - 194.840 - 77.839 + 344 - 1.414.925 - 680.987 - 144.783 - 24.789</t>
  </si>
  <si>
    <t>investimenti tendenzialmente elastici</t>
  </si>
  <si>
    <t>azienda piuttosto indipendente</t>
  </si>
  <si>
    <t>fonti molto rigide</t>
  </si>
  <si>
    <t>azienda poco indebitata</t>
  </si>
  <si>
    <t>gestione operativa in peridta</t>
  </si>
  <si>
    <t>gestione atipica in utile</t>
  </si>
  <si>
    <t>molto outsourcing (buy)</t>
  </si>
  <si>
    <t>Marzotto</t>
  </si>
  <si>
    <t>bilancio 1997</t>
  </si>
  <si>
    <t>bilancio 1996</t>
  </si>
  <si>
    <t>Olivetti</t>
  </si>
  <si>
    <t>commenti</t>
  </si>
  <si>
    <t>commento</t>
  </si>
  <si>
    <t>impieghi piuttosto elastici</t>
  </si>
  <si>
    <t>impresa di produzione</t>
  </si>
  <si>
    <t>fonti né elastiche né rigide</t>
  </si>
  <si>
    <t>eccessivo indebitamento</t>
  </si>
  <si>
    <t>problemi patrimoniali</t>
  </si>
  <si>
    <t>e problemi finanziari</t>
  </si>
  <si>
    <t xml:space="preserve">ma non critici </t>
  </si>
  <si>
    <t>scarsa liquidità corrente</t>
  </si>
  <si>
    <t>4 mesi acquisto-prod-vendita</t>
  </si>
  <si>
    <t>CM &lt; CE grazie a lunghi debiti</t>
  </si>
  <si>
    <t>positiva ma non eccellente</t>
  </si>
  <si>
    <t xml:space="preserve">Vendite / CIO = 1.138.271 / 932.519 </t>
  </si>
  <si>
    <t>Vendite / CI = 1.138.271 / 1.116.235</t>
  </si>
  <si>
    <t>ed immediata</t>
  </si>
  <si>
    <t>40% make, 60% buy</t>
  </si>
  <si>
    <t>ROE * CN/(CT + CN) + ROD' * CT/(CN + CT) = 9,5%* 33,8% + 6,4% * 66,2%</t>
  </si>
  <si>
    <t>*</t>
  </si>
  <si>
    <t>* per il bilancio 1996, non essendo disposnibile la gicaenza media, è stata utilizzata la giacenza finale</t>
  </si>
  <si>
    <t>positiva ma non eccellente, peggiora dal 96 al 97</t>
  </si>
  <si>
    <t>politiche margini e quantità bilanciate</t>
  </si>
  <si>
    <t>positiva ma non eccellente, migliora dal 96 al 97</t>
  </si>
  <si>
    <t>possibilità sfruttamento leva nel 96, non nel 97</t>
  </si>
  <si>
    <t>bilancio 95</t>
  </si>
  <si>
    <t>Giac media MP / Consumi MP = (55.060 + 40.924) / 2 / (465.399 + 40.924 - 55.060) * 365</t>
  </si>
  <si>
    <t>Giac media MP / Consumi MP = 24.789/2/(1.414.925 + 24.789)*365</t>
  </si>
  <si>
    <t>Debiti v/ fornitori / Acquisti = 280.185 / (1.414.925 + 680.987) * 365</t>
  </si>
  <si>
    <t>Giac media SL / Costi produz = (8.119 + 48.604) / 2 / 3.044.011 * 365</t>
  </si>
  <si>
    <t>Giac media PF / Costi produz = (120.278 + 274.633) / 2 / 3.044.011 * 365</t>
  </si>
  <si>
    <t>elevata liquidità corrente</t>
  </si>
  <si>
    <t>Crediti v/ clienti / Vendite = 577.043 / 3.120.929 * 365</t>
  </si>
  <si>
    <t>Crediti v/ clienti / Vendite = 269.467 / 1.138.271 * 365</t>
  </si>
  <si>
    <t xml:space="preserve">ciclo acquisto-trasf-vendita: 2 mesi (96) poco &gt; 1 mese (95) </t>
  </si>
  <si>
    <t>ottimo ciclo nel 95</t>
  </si>
  <si>
    <t>gest operativa in perdita</t>
  </si>
  <si>
    <t>gest ordinaria poco profittevole</t>
  </si>
  <si>
    <t>MP + Produz + PF = 31 + 3 + 24</t>
  </si>
  <si>
    <t>CE - Debiti + Crediti = 58 - 49 + 67</t>
  </si>
  <si>
    <t>CI - Immob fin - Att fin non immob - Disponib = 5.638.105 - 1.908.113 - 485.106 - 265.727</t>
  </si>
  <si>
    <t>MON / CIO = -88.375 / 3.032.917</t>
  </si>
  <si>
    <t>MON / Vendite = -88.375 / 3.120.929</t>
  </si>
  <si>
    <t>Vendite / CIO = 3.120.929 / 3.032.917</t>
  </si>
  <si>
    <t>Vendite / CI = 3.120.929 / 5.638.105</t>
  </si>
  <si>
    <t>Gest operativa, atipica e patrimoniale / CI = (111.668 + 183.624 + 124.262) / 5.638.105</t>
  </si>
  <si>
    <t>Utile esercizio / Capitale proprio = 489.140 / 3.040.161</t>
  </si>
  <si>
    <t>gest totale poco profittevole nel 95, migliora notevolmente nel 96</t>
  </si>
  <si>
    <t>Oneri finanziari / (Debiti - deb v/ fornitori) = 212.686 / ( 2.080.549 - 280.185)</t>
  </si>
  <si>
    <t>Oneri finanziari / CT = 212.686 / 2.597944</t>
  </si>
  <si>
    <t>ROE * CN/(CT + CN) + ROD' * CT/(CN + CT) = 11,8% * 53,9% + 8,2% * 46,1%</t>
  </si>
  <si>
    <t>Trenitalia</t>
  </si>
  <si>
    <t>bilancio 08</t>
  </si>
  <si>
    <t>bilancio 09</t>
  </si>
  <si>
    <t>investimenti molto rigidi</t>
  </si>
  <si>
    <t>impresa di servizi</t>
  </si>
  <si>
    <t>impresa estremamente indebitata</t>
  </si>
  <si>
    <t>fonti tendenzialmente rigide</t>
  </si>
  <si>
    <t>situazione critica</t>
  </si>
  <si>
    <t>circa 60% make</t>
  </si>
  <si>
    <t>scarsa gestione operativa</t>
  </si>
  <si>
    <t>delle materie prime</t>
  </si>
  <si>
    <t>pessimi entrambi i cicli a causa dei lunghi tempi di giacenza</t>
  </si>
  <si>
    <t>tendenzialmente politica sui margini</t>
  </si>
  <si>
    <t>scarsa gestione ordinaria</t>
  </si>
  <si>
    <t>scarsa gestione totale</t>
  </si>
  <si>
    <t>basso costo del capitale di terzi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</si>
</sst>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2" xfId="0" quotePrefix="1" applyNumberFormat="1" applyFont="1" applyBorder="1"/>
    <xf numFmtId="164" fontId="1" fillId="0" borderId="3" xfId="0" applyNumberFormat="1" applyFont="1" applyBorder="1"/>
    <xf numFmtId="0" fontId="1" fillId="0" borderId="4" xfId="0" applyFont="1" applyBorder="1"/>
    <xf numFmtId="3" fontId="1" fillId="0" borderId="0" xfId="0" quotePrefix="1" applyNumberFormat="1" applyFont="1" applyBorder="1"/>
    <xf numFmtId="164" fontId="1" fillId="0" borderId="5" xfId="0" applyNumberFormat="1" applyFont="1" applyBorder="1"/>
    <xf numFmtId="0" fontId="1" fillId="0" borderId="6" xfId="0" applyFont="1" applyBorder="1"/>
    <xf numFmtId="3" fontId="1" fillId="0" borderId="7" xfId="0" quotePrefix="1" applyNumberFormat="1" applyFont="1" applyBorder="1"/>
    <xf numFmtId="164" fontId="1" fillId="0" borderId="8" xfId="0" applyNumberFormat="1" applyFont="1" applyBorder="1"/>
    <xf numFmtId="0" fontId="1" fillId="0" borderId="9" xfId="0" applyFont="1" applyBorder="1"/>
    <xf numFmtId="4" fontId="1" fillId="0" borderId="10" xfId="0" quotePrefix="1" applyNumberFormat="1" applyFont="1" applyBorder="1"/>
    <xf numFmtId="0" fontId="1" fillId="0" borderId="11" xfId="0" applyFont="1" applyBorder="1"/>
    <xf numFmtId="3" fontId="1" fillId="0" borderId="2" xfId="0" applyNumberFormat="1" applyFont="1" applyBorder="1"/>
    <xf numFmtId="0" fontId="1" fillId="0" borderId="3" xfId="0" applyFont="1" applyBorder="1"/>
    <xf numFmtId="3" fontId="1" fillId="0" borderId="0" xfId="0" applyNumberFormat="1" applyFont="1" applyBorder="1"/>
    <xf numFmtId="0" fontId="1" fillId="0" borderId="5" xfId="0" applyFont="1" applyBorder="1"/>
    <xf numFmtId="3" fontId="1" fillId="0" borderId="7" xfId="0" applyNumberFormat="1" applyFont="1" applyBorder="1"/>
    <xf numFmtId="0" fontId="1" fillId="0" borderId="8" xfId="0" applyFont="1" applyBorder="1"/>
    <xf numFmtId="4" fontId="1" fillId="0" borderId="2" xfId="0" quotePrefix="1" applyNumberFormat="1" applyFont="1" applyBorder="1"/>
    <xf numFmtId="4" fontId="1" fillId="0" borderId="7" xfId="0" quotePrefix="1" applyNumberFormat="1" applyFont="1" applyBorder="1"/>
    <xf numFmtId="1" fontId="1" fillId="0" borderId="2" xfId="0" quotePrefix="1" applyNumberFormat="1" applyFont="1" applyBorder="1"/>
    <xf numFmtId="2" fontId="1" fillId="0" borderId="3" xfId="0" applyNumberFormat="1" applyFont="1" applyBorder="1"/>
    <xf numFmtId="1" fontId="1" fillId="0" borderId="0" xfId="0" quotePrefix="1" applyNumberFormat="1" applyFont="1" applyBorder="1"/>
    <xf numFmtId="2" fontId="1" fillId="0" borderId="5" xfId="0" applyNumberFormat="1" applyFont="1" applyBorder="1"/>
    <xf numFmtId="1" fontId="1" fillId="0" borderId="7" xfId="0" quotePrefix="1" applyNumberFormat="1" applyFont="1" applyBorder="1"/>
    <xf numFmtId="164" fontId="1" fillId="0" borderId="0" xfId="0" applyNumberFormat="1" applyFont="1" applyBorder="1"/>
    <xf numFmtId="2" fontId="1" fillId="0" borderId="0" xfId="0" applyNumberFormat="1" applyFont="1" applyBorder="1"/>
    <xf numFmtId="164" fontId="1" fillId="0" borderId="7" xfId="0" applyNumberFormat="1" applyFont="1" applyBorder="1"/>
    <xf numFmtId="0" fontId="1" fillId="0" borderId="0" xfId="0" applyFont="1" applyAlignment="1">
      <alignment vertical="center"/>
    </xf>
    <xf numFmtId="4" fontId="1" fillId="0" borderId="0" xfId="0" quotePrefix="1" applyNumberFormat="1" applyFont="1" applyBorder="1"/>
    <xf numFmtId="0" fontId="1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" xfId="0" quotePrefix="1" applyFont="1" applyBorder="1"/>
    <xf numFmtId="0" fontId="1" fillId="0" borderId="4" xfId="0" quotePrefix="1" applyFont="1" applyBorder="1"/>
    <xf numFmtId="0" fontId="1" fillId="0" borderId="9" xfId="0" quotePrefix="1" applyFont="1" applyBorder="1"/>
    <xf numFmtId="0" fontId="1" fillId="0" borderId="6" xfId="0" quotePrefix="1" applyFont="1" applyBorder="1"/>
    <xf numFmtId="0" fontId="1" fillId="0" borderId="12" xfId="0" applyFont="1" applyBorder="1"/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" fontId="1" fillId="0" borderId="2" xfId="0" applyNumberFormat="1" applyFont="1" applyBorder="1"/>
    <xf numFmtId="1" fontId="1" fillId="0" borderId="0" xfId="0" applyNumberFormat="1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1" fillId="0" borderId="4" xfId="0" applyNumberFormat="1" applyFont="1" applyBorder="1"/>
    <xf numFmtId="164" fontId="1" fillId="0" borderId="6" xfId="0" applyNumberFormat="1" applyFont="1" applyBorder="1"/>
    <xf numFmtId="2" fontId="1" fillId="0" borderId="1" xfId="0" applyNumberFormat="1" applyFont="1" applyBorder="1"/>
    <xf numFmtId="2" fontId="1" fillId="0" borderId="4" xfId="0" applyNumberFormat="1" applyFont="1" applyBorder="1"/>
    <xf numFmtId="0" fontId="1" fillId="0" borderId="0" xfId="0" applyFont="1" applyBorder="1" applyAlignment="1">
      <alignment vertical="center"/>
    </xf>
    <xf numFmtId="3" fontId="1" fillId="0" borderId="6" xfId="0" quotePrefix="1" applyNumberFormat="1" applyFont="1" applyBorder="1"/>
    <xf numFmtId="3" fontId="1" fillId="0" borderId="4" xfId="0" quotePrefix="1" applyNumberFormat="1" applyFont="1" applyBorder="1"/>
    <xf numFmtId="3" fontId="1" fillId="0" borderId="1" xfId="0" applyNumberFormat="1" applyFont="1" applyBorder="1"/>
    <xf numFmtId="3" fontId="1" fillId="0" borderId="4" xfId="0" applyNumberFormat="1" applyFont="1" applyBorder="1"/>
    <xf numFmtId="3" fontId="1" fillId="0" borderId="6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1" xfId="0" applyNumberFormat="1" applyFont="1" applyBorder="1"/>
    <xf numFmtId="1" fontId="1" fillId="0" borderId="4" xfId="0" applyNumberFormat="1" applyFont="1" applyBorder="1"/>
    <xf numFmtId="1" fontId="1" fillId="0" borderId="6" xfId="0" applyNumberFormat="1" applyFont="1" applyBorder="1"/>
    <xf numFmtId="0" fontId="1" fillId="0" borderId="9" xfId="0" applyFont="1" applyBorder="1" applyAlignment="1">
      <alignment vertical="center"/>
    </xf>
    <xf numFmtId="3" fontId="1" fillId="0" borderId="1" xfId="0" quotePrefix="1" applyNumberFormat="1" applyFont="1" applyBorder="1"/>
    <xf numFmtId="4" fontId="1" fillId="0" borderId="9" xfId="0" quotePrefix="1" applyNumberFormat="1" applyFont="1" applyBorder="1"/>
    <xf numFmtId="4" fontId="1" fillId="0" borderId="1" xfId="0" quotePrefix="1" applyNumberFormat="1" applyFont="1" applyBorder="1"/>
    <xf numFmtId="4" fontId="1" fillId="0" borderId="4" xfId="0" quotePrefix="1" applyNumberFormat="1" applyFont="1" applyBorder="1"/>
    <xf numFmtId="1" fontId="1" fillId="0" borderId="1" xfId="0" quotePrefix="1" applyNumberFormat="1" applyFont="1" applyBorder="1"/>
    <xf numFmtId="1" fontId="1" fillId="0" borderId="4" xfId="0" quotePrefix="1" applyNumberFormat="1" applyFont="1" applyBorder="1"/>
    <xf numFmtId="1" fontId="1" fillId="0" borderId="6" xfId="0" quotePrefix="1" applyNumberFormat="1" applyFont="1" applyBorder="1"/>
    <xf numFmtId="3" fontId="1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/>
  </sheetViews>
  <sheetFormatPr defaultRowHeight="12" x14ac:dyDescent="0.2"/>
  <cols>
    <col min="1" max="1" width="7.85546875" style="1" bestFit="1" customWidth="1"/>
    <col min="2" max="2" width="71.42578125" style="1" bestFit="1" customWidth="1"/>
    <col min="3" max="3" width="7.85546875" style="1" bestFit="1" customWidth="1"/>
    <col min="4" max="4" width="6.140625" style="1" bestFit="1" customWidth="1"/>
    <col min="5" max="5" width="7.85546875" style="1" bestFit="1" customWidth="1"/>
    <col min="6" max="6" width="6.7109375" style="1" bestFit="1" customWidth="1"/>
    <col min="7" max="7" width="40.140625" style="1" bestFit="1" customWidth="1"/>
    <col min="8" max="16384" width="9.140625" style="1"/>
  </cols>
  <sheetData>
    <row r="1" spans="1:7" x14ac:dyDescent="0.2">
      <c r="A1" s="41" t="s">
        <v>96</v>
      </c>
      <c r="B1" s="61" t="s">
        <v>97</v>
      </c>
      <c r="C1" s="62"/>
      <c r="D1" s="63"/>
      <c r="E1" s="61" t="s">
        <v>98</v>
      </c>
      <c r="F1" s="63"/>
      <c r="G1" s="41" t="s">
        <v>101</v>
      </c>
    </row>
    <row r="2" spans="1:7" x14ac:dyDescent="0.2">
      <c r="A2" s="2" t="s">
        <v>0</v>
      </c>
      <c r="B2" s="37" t="s">
        <v>31</v>
      </c>
      <c r="C2" s="3">
        <f>0+436545-633+78+360+0</f>
        <v>436350</v>
      </c>
      <c r="D2" s="4">
        <f>C2/$C$7</f>
        <v>0.39091230789215531</v>
      </c>
      <c r="E2" s="3">
        <f>423549-558+353</f>
        <v>423344</v>
      </c>
      <c r="F2" s="4">
        <f>E2/$E$7</f>
        <v>0.39510357674833596</v>
      </c>
      <c r="G2" s="48"/>
    </row>
    <row r="3" spans="1:7" x14ac:dyDescent="0.2">
      <c r="A3" s="5" t="s">
        <v>1</v>
      </c>
      <c r="B3" s="38" t="s">
        <v>32</v>
      </c>
      <c r="C3" s="6">
        <f>1116235-436350</f>
        <v>679885</v>
      </c>
      <c r="D3" s="7">
        <f>C3/$C$7</f>
        <v>0.60908769210784464</v>
      </c>
      <c r="E3" s="6">
        <f>1071476-E2</f>
        <v>648132</v>
      </c>
      <c r="F3" s="7">
        <f t="shared" ref="F3:F7" si="0">E3/$E$7</f>
        <v>0.60489642325166404</v>
      </c>
      <c r="G3" s="49" t="s">
        <v>102</v>
      </c>
    </row>
    <row r="4" spans="1:7" x14ac:dyDescent="0.2">
      <c r="A4" s="5" t="s">
        <v>2</v>
      </c>
      <c r="B4" s="5"/>
      <c r="C4" s="6">
        <v>335635</v>
      </c>
      <c r="D4" s="7">
        <f t="shared" ref="D4:D7" si="1">C4/$C$7</f>
        <v>0.30068489162228385</v>
      </c>
      <c r="E4" s="6">
        <v>290049</v>
      </c>
      <c r="F4" s="7">
        <f t="shared" si="0"/>
        <v>0.27070041699487435</v>
      </c>
      <c r="G4" s="49" t="s">
        <v>103</v>
      </c>
    </row>
    <row r="5" spans="1:7" x14ac:dyDescent="0.2">
      <c r="A5" s="5" t="s">
        <v>4</v>
      </c>
      <c r="B5" s="38" t="s">
        <v>33</v>
      </c>
      <c r="C5" s="6">
        <f>C3-C4-C6</f>
        <v>344012</v>
      </c>
      <c r="D5" s="7">
        <f t="shared" si="1"/>
        <v>0.30818958373460786</v>
      </c>
      <c r="E5" s="6">
        <f>E3-E4-E6</f>
        <v>357709</v>
      </c>
      <c r="F5" s="7">
        <f t="shared" si="0"/>
        <v>0.33384695504145684</v>
      </c>
      <c r="G5" s="49"/>
    </row>
    <row r="6" spans="1:7" x14ac:dyDescent="0.2">
      <c r="A6" s="5" t="s">
        <v>3</v>
      </c>
      <c r="B6" s="5"/>
      <c r="C6" s="6">
        <v>238</v>
      </c>
      <c r="D6" s="7">
        <f t="shared" si="1"/>
        <v>2.1321675095298034E-4</v>
      </c>
      <c r="E6" s="6">
        <v>374</v>
      </c>
      <c r="F6" s="7">
        <f t="shared" si="0"/>
        <v>3.4905121533286793E-4</v>
      </c>
      <c r="G6" s="49"/>
    </row>
    <row r="7" spans="1:7" x14ac:dyDescent="0.2">
      <c r="A7" s="8" t="s">
        <v>5</v>
      </c>
      <c r="B7" s="8"/>
      <c r="C7" s="9">
        <f>C2+C3</f>
        <v>1116235</v>
      </c>
      <c r="D7" s="10">
        <f t="shared" si="1"/>
        <v>1</v>
      </c>
      <c r="E7" s="9">
        <f>E2+E3</f>
        <v>1071476</v>
      </c>
      <c r="F7" s="10">
        <f t="shared" si="0"/>
        <v>1</v>
      </c>
      <c r="G7" s="50"/>
    </row>
    <row r="8" spans="1:7" x14ac:dyDescent="0.2">
      <c r="A8" s="2" t="s">
        <v>6</v>
      </c>
      <c r="B8" s="2"/>
      <c r="C8" s="3">
        <v>377730</v>
      </c>
      <c r="D8" s="4">
        <f t="shared" ref="D8:D13" si="2">C8/$C$13</f>
        <v>0.33839648461121535</v>
      </c>
      <c r="E8" s="3">
        <v>363248</v>
      </c>
      <c r="F8" s="4">
        <f>E8/$E$13</f>
        <v>0.33901645953805776</v>
      </c>
      <c r="G8" s="48"/>
    </row>
    <row r="9" spans="1:7" x14ac:dyDescent="0.2">
      <c r="A9" s="5" t="s">
        <v>7</v>
      </c>
      <c r="B9" s="38" t="s">
        <v>34</v>
      </c>
      <c r="C9" s="6">
        <f>128880+500+1662+721+1</f>
        <v>131764</v>
      </c>
      <c r="D9" s="7">
        <f t="shared" si="2"/>
        <v>0.11804324358222058</v>
      </c>
      <c r="E9" s="6">
        <f>134373+2428+574+378+128+1</f>
        <v>137882</v>
      </c>
      <c r="F9" s="7">
        <f t="shared" ref="F9:F13" si="3">E9/$E$13</f>
        <v>0.12868417024739706</v>
      </c>
      <c r="G9" s="49"/>
    </row>
    <row r="10" spans="1:7" x14ac:dyDescent="0.2">
      <c r="A10" s="5" t="s">
        <v>8</v>
      </c>
      <c r="B10" s="38" t="s">
        <v>35</v>
      </c>
      <c r="C10" s="6">
        <f>C7-C8-C9</f>
        <v>606741</v>
      </c>
      <c r="D10" s="7">
        <f t="shared" si="2"/>
        <v>0.54356027180656408</v>
      </c>
      <c r="E10" s="6">
        <f>E7-E8-E9</f>
        <v>570346</v>
      </c>
      <c r="F10" s="7">
        <f t="shared" si="3"/>
        <v>0.53229937021454521</v>
      </c>
      <c r="G10" s="49" t="s">
        <v>104</v>
      </c>
    </row>
    <row r="11" spans="1:7" x14ac:dyDescent="0.2">
      <c r="A11" s="5" t="s">
        <v>72</v>
      </c>
      <c r="B11" s="38" t="s">
        <v>36</v>
      </c>
      <c r="C11" s="6">
        <f>C8+C9</f>
        <v>509494</v>
      </c>
      <c r="D11" s="7">
        <f t="shared" si="2"/>
        <v>0.45643972819343598</v>
      </c>
      <c r="E11" s="6">
        <f>E8+E9</f>
        <v>501130</v>
      </c>
      <c r="F11" s="7">
        <f t="shared" si="3"/>
        <v>0.46770062978545485</v>
      </c>
      <c r="G11" s="49"/>
    </row>
    <row r="12" spans="1:7" x14ac:dyDescent="0.2">
      <c r="A12" s="5" t="s">
        <v>9</v>
      </c>
      <c r="B12" s="38" t="s">
        <v>37</v>
      </c>
      <c r="C12" s="6">
        <f>C9+C10</f>
        <v>738505</v>
      </c>
      <c r="D12" s="7">
        <f t="shared" si="2"/>
        <v>0.66160351538878459</v>
      </c>
      <c r="E12" s="6">
        <f>E9+E10</f>
        <v>708228</v>
      </c>
      <c r="F12" s="7">
        <f t="shared" si="3"/>
        <v>0.66098354046194219</v>
      </c>
      <c r="G12" s="49"/>
    </row>
    <row r="13" spans="1:7" x14ac:dyDescent="0.2">
      <c r="A13" s="8" t="s">
        <v>10</v>
      </c>
      <c r="B13" s="8"/>
      <c r="C13" s="9">
        <f>C8+C9+C10</f>
        <v>1116235</v>
      </c>
      <c r="D13" s="10">
        <f t="shared" si="2"/>
        <v>1</v>
      </c>
      <c r="E13" s="9">
        <f>E8+E9+E10</f>
        <v>1071476</v>
      </c>
      <c r="F13" s="10">
        <f t="shared" si="3"/>
        <v>1</v>
      </c>
      <c r="G13" s="50"/>
    </row>
    <row r="14" spans="1:7" x14ac:dyDescent="0.2">
      <c r="A14" s="11" t="s">
        <v>30</v>
      </c>
      <c r="B14" s="39" t="s">
        <v>29</v>
      </c>
      <c r="C14" s="12">
        <f>C12/C8</f>
        <v>1.9551134408175153</v>
      </c>
      <c r="D14" s="13"/>
      <c r="E14" s="12">
        <f>E12/E8</f>
        <v>1.9497092895212087</v>
      </c>
      <c r="F14" s="13"/>
      <c r="G14" s="41" t="s">
        <v>105</v>
      </c>
    </row>
    <row r="15" spans="1:7" x14ac:dyDescent="0.2">
      <c r="A15" s="2" t="s">
        <v>11</v>
      </c>
      <c r="B15" s="37" t="s">
        <v>28</v>
      </c>
      <c r="C15" s="14">
        <f>C8-C2</f>
        <v>-58620</v>
      </c>
      <c r="D15" s="15"/>
      <c r="E15" s="14">
        <f>E8-E2</f>
        <v>-60096</v>
      </c>
      <c r="F15" s="15"/>
      <c r="G15" s="48" t="s">
        <v>106</v>
      </c>
    </row>
    <row r="16" spans="1:7" x14ac:dyDescent="0.2">
      <c r="A16" s="5" t="s">
        <v>12</v>
      </c>
      <c r="B16" s="38" t="s">
        <v>27</v>
      </c>
      <c r="C16" s="16">
        <f>C5+C6-C10</f>
        <v>-262491</v>
      </c>
      <c r="D16" s="17"/>
      <c r="E16" s="16">
        <f>E5+E6-E10</f>
        <v>-212263</v>
      </c>
      <c r="F16" s="17"/>
      <c r="G16" s="49" t="s">
        <v>107</v>
      </c>
    </row>
    <row r="17" spans="1:7" x14ac:dyDescent="0.2">
      <c r="A17" s="8" t="s">
        <v>13</v>
      </c>
      <c r="B17" s="40" t="s">
        <v>38</v>
      </c>
      <c r="C17" s="18">
        <f>C3-C10</f>
        <v>73144</v>
      </c>
      <c r="D17" s="19"/>
      <c r="E17" s="18">
        <f>E3-E10</f>
        <v>77786</v>
      </c>
      <c r="F17" s="19"/>
      <c r="G17" s="50" t="s">
        <v>108</v>
      </c>
    </row>
    <row r="18" spans="1:7" x14ac:dyDescent="0.2">
      <c r="A18" s="2" t="s">
        <v>14</v>
      </c>
      <c r="B18" s="37" t="s">
        <v>39</v>
      </c>
      <c r="C18" s="20">
        <f>C3/C10</f>
        <v>1.1205522620030623</v>
      </c>
      <c r="D18" s="15"/>
      <c r="E18" s="20">
        <f>E3/E10</f>
        <v>1.1363838792592567</v>
      </c>
      <c r="F18" s="15"/>
      <c r="G18" s="48" t="s">
        <v>109</v>
      </c>
    </row>
    <row r="19" spans="1:7" x14ac:dyDescent="0.2">
      <c r="A19" s="8" t="s">
        <v>15</v>
      </c>
      <c r="B19" s="40" t="s">
        <v>40</v>
      </c>
      <c r="C19" s="21">
        <f>(C5+C6)/C10</f>
        <v>0.56737553585467271</v>
      </c>
      <c r="D19" s="19"/>
      <c r="E19" s="21">
        <f>(E5+E6)/E10</f>
        <v>0.62783468280657706</v>
      </c>
      <c r="F19" s="19"/>
      <c r="G19" s="50" t="s">
        <v>115</v>
      </c>
    </row>
    <row r="20" spans="1:7" x14ac:dyDescent="0.2">
      <c r="A20" s="2" t="s">
        <v>16</v>
      </c>
      <c r="B20" s="37" t="s">
        <v>51</v>
      </c>
      <c r="C20" s="3">
        <f>1138271+36229+539-465399+10146-275013-2004</f>
        <v>442769</v>
      </c>
      <c r="D20" s="4">
        <f>C20/1138271</f>
        <v>0.38898381844042412</v>
      </c>
      <c r="E20" s="3">
        <f>1070918-11740+2582-397142-247050-1599-2059</f>
        <v>413910</v>
      </c>
      <c r="F20" s="4">
        <f>E20/1070918</f>
        <v>0.38650018021921378</v>
      </c>
      <c r="G20" s="48" t="s">
        <v>116</v>
      </c>
    </row>
    <row r="21" spans="1:7" x14ac:dyDescent="0.2">
      <c r="A21" s="5" t="s">
        <v>17</v>
      </c>
      <c r="B21" s="38" t="s">
        <v>41</v>
      </c>
      <c r="C21" s="16">
        <f>C20-306374</f>
        <v>136395</v>
      </c>
      <c r="D21" s="7">
        <f t="shared" ref="D21:D22" si="4">C21/1138271</f>
        <v>0.11982647366049035</v>
      </c>
      <c r="E21" s="6">
        <f>E20-306955</f>
        <v>106955</v>
      </c>
      <c r="F21" s="7">
        <f>E21/1070918</f>
        <v>9.987225912721609E-2</v>
      </c>
      <c r="G21" s="49"/>
    </row>
    <row r="22" spans="1:7" x14ac:dyDescent="0.2">
      <c r="A22" s="8" t="s">
        <v>18</v>
      </c>
      <c r="B22" s="40" t="s">
        <v>42</v>
      </c>
      <c r="C22" s="18">
        <f>C21-63454-4641</f>
        <v>68300</v>
      </c>
      <c r="D22" s="10">
        <f t="shared" si="4"/>
        <v>6.0003285685043366E-2</v>
      </c>
      <c r="E22" s="9">
        <f>E21-400-10401</f>
        <v>96154</v>
      </c>
      <c r="F22" s="10">
        <f>E22/1070918</f>
        <v>8.9786519602808063E-2</v>
      </c>
      <c r="G22" s="50"/>
    </row>
    <row r="23" spans="1:7" x14ac:dyDescent="0.2">
      <c r="A23" s="2" t="s">
        <v>19</v>
      </c>
      <c r="B23" s="37" t="s">
        <v>125</v>
      </c>
      <c r="C23" s="22">
        <f>(55060+40924)/2/(465399+40924-55060)*365</f>
        <v>38.817895550931496</v>
      </c>
      <c r="D23" s="23">
        <f>365/C23</f>
        <v>9.4028796466077686</v>
      </c>
      <c r="E23" s="46">
        <f>40924/(397142+9155)*365</f>
        <v>36.764386643268352</v>
      </c>
      <c r="F23" s="23">
        <f>365/E23</f>
        <v>9.9280862085817603</v>
      </c>
      <c r="G23" s="48" t="s">
        <v>118</v>
      </c>
    </row>
    <row r="24" spans="1:7" x14ac:dyDescent="0.2">
      <c r="A24" s="5" t="s">
        <v>20</v>
      </c>
      <c r="B24" s="38" t="s">
        <v>46</v>
      </c>
      <c r="C24" s="24">
        <f>205150/(465399+275013)*365</f>
        <v>101.13254512352583</v>
      </c>
      <c r="D24" s="25">
        <f t="shared" ref="D24:D27" si="5">365/C24</f>
        <v>3.6091250304655129</v>
      </c>
      <c r="E24" s="47">
        <f>172151/(397142+247050)*365</f>
        <v>97.540973809050726</v>
      </c>
      <c r="F24" s="25">
        <f>365/E24</f>
        <v>3.7420171825897031</v>
      </c>
      <c r="G24" s="49"/>
    </row>
    <row r="25" spans="1:7" x14ac:dyDescent="0.2">
      <c r="A25" s="5" t="s">
        <v>48</v>
      </c>
      <c r="B25" s="38" t="s">
        <v>47</v>
      </c>
      <c r="C25" s="24">
        <f>(161856+128229)/2/1117823*365</f>
        <v>47.360371454156876</v>
      </c>
      <c r="D25" s="25">
        <f t="shared" si="5"/>
        <v>7.7068652291569713</v>
      </c>
      <c r="E25" s="47">
        <f>128229/1039196*365</f>
        <v>45.038265158834335</v>
      </c>
      <c r="F25" s="25">
        <f>365/E25</f>
        <v>8.1042197942743055</v>
      </c>
      <c r="G25" s="49" t="s">
        <v>118</v>
      </c>
    </row>
    <row r="26" spans="1:7" x14ac:dyDescent="0.2">
      <c r="A26" s="5" t="s">
        <v>7</v>
      </c>
      <c r="B26" s="38" t="s">
        <v>50</v>
      </c>
      <c r="C26" s="24">
        <f>(116597+117984)/2/1117823*365</f>
        <v>38.298579023691588</v>
      </c>
      <c r="D26" s="25">
        <f t="shared" si="5"/>
        <v>9.5303796982705329</v>
      </c>
      <c r="E26" s="47">
        <f>117984/1039196*365</f>
        <v>41.439882370601886</v>
      </c>
      <c r="F26" s="25">
        <f>365/E26</f>
        <v>8.8079400596691073</v>
      </c>
      <c r="G26" s="49" t="s">
        <v>118</v>
      </c>
    </row>
    <row r="27" spans="1:7" x14ac:dyDescent="0.2">
      <c r="A27" s="5" t="s">
        <v>21</v>
      </c>
      <c r="B27" s="38" t="s">
        <v>132</v>
      </c>
      <c r="C27" s="24">
        <f>269467/1138271*365</f>
        <v>86.407766691763214</v>
      </c>
      <c r="D27" s="25">
        <f t="shared" si="5"/>
        <v>4.2241573179647229</v>
      </c>
      <c r="E27" s="47">
        <f>266929/1070918*365</f>
        <v>90.977166318989873</v>
      </c>
      <c r="F27" s="25">
        <f>365/E27</f>
        <v>4.0119956992308818</v>
      </c>
      <c r="G27" s="49"/>
    </row>
    <row r="28" spans="1:7" x14ac:dyDescent="0.2">
      <c r="A28" s="5" t="s">
        <v>43</v>
      </c>
      <c r="B28" s="5" t="s">
        <v>49</v>
      </c>
      <c r="C28" s="24">
        <f>C23+C25+C26</f>
        <v>124.47684602877996</v>
      </c>
      <c r="D28" s="17"/>
      <c r="E28" s="24">
        <f>E23+E25+E26</f>
        <v>123.24253417270458</v>
      </c>
      <c r="F28" s="17"/>
      <c r="G28" s="49" t="s">
        <v>110</v>
      </c>
    </row>
    <row r="29" spans="1:7" x14ac:dyDescent="0.2">
      <c r="A29" s="8" t="s">
        <v>44</v>
      </c>
      <c r="B29" s="8" t="s">
        <v>45</v>
      </c>
      <c r="C29" s="26">
        <f>C28-C24+C27</f>
        <v>109.75206759701734</v>
      </c>
      <c r="D29" s="19"/>
      <c r="E29" s="26">
        <f>E28-E24+E27</f>
        <v>116.67872668264373</v>
      </c>
      <c r="F29" s="19"/>
      <c r="G29" s="50" t="s">
        <v>111</v>
      </c>
    </row>
    <row r="30" spans="1:7" x14ac:dyDescent="0.2">
      <c r="A30" s="2" t="s">
        <v>26</v>
      </c>
      <c r="B30" s="37" t="s">
        <v>54</v>
      </c>
      <c r="C30" s="3">
        <f>1116235-183478-0-238</f>
        <v>932519</v>
      </c>
      <c r="D30" s="15"/>
      <c r="E30" s="14">
        <f>1071476-169528-2307-374</f>
        <v>899267</v>
      </c>
      <c r="F30" s="15"/>
      <c r="G30" s="48"/>
    </row>
    <row r="31" spans="1:7" x14ac:dyDescent="0.2">
      <c r="A31" s="5" t="s">
        <v>22</v>
      </c>
      <c r="B31" s="5" t="s">
        <v>52</v>
      </c>
      <c r="C31" s="27">
        <f>C22/C30</f>
        <v>7.3242475488435085E-2</v>
      </c>
      <c r="D31" s="17"/>
      <c r="E31" s="27">
        <f>E22/E30</f>
        <v>0.10692486213771883</v>
      </c>
      <c r="F31" s="17"/>
      <c r="G31" s="49" t="s">
        <v>120</v>
      </c>
    </row>
    <row r="32" spans="1:7" x14ac:dyDescent="0.2">
      <c r="A32" s="5" t="s">
        <v>23</v>
      </c>
      <c r="B32" s="5" t="s">
        <v>53</v>
      </c>
      <c r="C32" s="27">
        <f>D22</f>
        <v>6.0003285685043366E-2</v>
      </c>
      <c r="D32" s="17"/>
      <c r="E32" s="27">
        <f>F22</f>
        <v>8.9786519602808063E-2</v>
      </c>
      <c r="F32" s="17"/>
      <c r="G32" s="49" t="s">
        <v>121</v>
      </c>
    </row>
    <row r="33" spans="1:7" x14ac:dyDescent="0.2">
      <c r="A33" s="5" t="s">
        <v>24</v>
      </c>
      <c r="B33" s="5" t="s">
        <v>113</v>
      </c>
      <c r="C33" s="28">
        <f>1138271/C30</f>
        <v>1.2206410807715447</v>
      </c>
      <c r="D33" s="17"/>
      <c r="E33" s="28">
        <f>1070918/E30</f>
        <v>1.1908787935062668</v>
      </c>
      <c r="F33" s="17"/>
      <c r="G33" s="49"/>
    </row>
    <row r="34" spans="1:7" x14ac:dyDescent="0.2">
      <c r="A34" s="5" t="s">
        <v>25</v>
      </c>
      <c r="B34" s="5" t="s">
        <v>114</v>
      </c>
      <c r="C34" s="28">
        <f>1138271/C7</f>
        <v>1.0197413627058818</v>
      </c>
      <c r="D34" s="17"/>
      <c r="E34" s="28">
        <f>1070918/E7</f>
        <v>0.99947922305305947</v>
      </c>
      <c r="F34" s="17"/>
      <c r="G34" s="49"/>
    </row>
    <row r="35" spans="1:7" x14ac:dyDescent="0.2">
      <c r="A35" s="5" t="s">
        <v>55</v>
      </c>
      <c r="B35" s="5" t="s">
        <v>59</v>
      </c>
      <c r="C35" s="27">
        <f>(67786+29894+15766)/C7</f>
        <v>0.10163272070845297</v>
      </c>
      <c r="D35" s="17"/>
      <c r="E35" s="27">
        <f>(37307+17785+33963)/1071476</f>
        <v>8.311432080606565E-2</v>
      </c>
      <c r="F35" s="17"/>
      <c r="G35" s="49" t="s">
        <v>122</v>
      </c>
    </row>
    <row r="36" spans="1:7" x14ac:dyDescent="0.2">
      <c r="A36" s="5" t="s">
        <v>56</v>
      </c>
      <c r="B36" s="5" t="s">
        <v>58</v>
      </c>
      <c r="C36" s="27">
        <f>36044/377730</f>
        <v>9.5422656394779343E-2</v>
      </c>
      <c r="D36" s="17"/>
      <c r="E36" s="27">
        <f>33149/363248</f>
        <v>9.1257212703166987E-2</v>
      </c>
      <c r="F36" s="17"/>
      <c r="G36" s="49" t="s">
        <v>112</v>
      </c>
    </row>
    <row r="37" spans="1:7" x14ac:dyDescent="0.2">
      <c r="A37" s="5" t="s">
        <v>57</v>
      </c>
      <c r="B37" s="5" t="s">
        <v>60</v>
      </c>
      <c r="C37" s="27">
        <f>47394/(589479-205150)</f>
        <v>0.12331622125834897</v>
      </c>
      <c r="D37" s="17"/>
      <c r="E37" s="27">
        <f>32421/(553285-172151)</f>
        <v>8.5064570466030318E-2</v>
      </c>
      <c r="F37" s="17"/>
      <c r="G37" s="49" t="s">
        <v>123</v>
      </c>
    </row>
    <row r="38" spans="1:7" x14ac:dyDescent="0.2">
      <c r="A38" s="5" t="s">
        <v>61</v>
      </c>
      <c r="B38" s="5" t="s">
        <v>62</v>
      </c>
      <c r="C38" s="27">
        <f>47394/C12</f>
        <v>6.4175597998659448E-2</v>
      </c>
      <c r="D38" s="17"/>
      <c r="E38" s="27">
        <f>32421/E12</f>
        <v>4.5777630932411599E-2</v>
      </c>
      <c r="F38" s="17"/>
      <c r="G38" s="49"/>
    </row>
    <row r="39" spans="1:7" x14ac:dyDescent="0.2">
      <c r="A39" s="8" t="s">
        <v>63</v>
      </c>
      <c r="B39" s="8" t="s">
        <v>117</v>
      </c>
      <c r="C39" s="29">
        <f>C36*D8+C38*D12</f>
        <v>7.4749492714347776E-2</v>
      </c>
      <c r="D39" s="19"/>
      <c r="E39" s="29">
        <f>E36*F8+E38*F12</f>
        <v>6.1195957725604683E-2</v>
      </c>
      <c r="F39" s="19"/>
      <c r="G39" s="50"/>
    </row>
    <row r="41" spans="1:7" x14ac:dyDescent="0.2">
      <c r="A41" s="64" t="s">
        <v>119</v>
      </c>
      <c r="B41" s="64"/>
      <c r="C41" s="64"/>
      <c r="D41" s="64"/>
      <c r="E41" s="64"/>
      <c r="F41" s="64"/>
      <c r="G41" s="64"/>
    </row>
  </sheetData>
  <mergeCells count="3">
    <mergeCell ref="B1:D1"/>
    <mergeCell ref="E1:F1"/>
    <mergeCell ref="A41:G4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/>
  </sheetViews>
  <sheetFormatPr defaultRowHeight="12" x14ac:dyDescent="0.25"/>
  <cols>
    <col min="1" max="1" width="6.7109375" style="30" bestFit="1" customWidth="1"/>
    <col min="2" max="2" width="72.7109375" style="30" bestFit="1" customWidth="1"/>
    <col min="3" max="3" width="7.85546875" style="30" bestFit="1" customWidth="1"/>
    <col min="4" max="4" width="6.140625" style="30" bestFit="1" customWidth="1"/>
    <col min="5" max="5" width="10.42578125" style="30" bestFit="1" customWidth="1"/>
    <col min="6" max="6" width="6.140625" style="30" customWidth="1"/>
    <col min="7" max="7" width="53.5703125" style="30" bestFit="1" customWidth="1"/>
    <col min="8" max="16384" width="9.140625" style="30"/>
  </cols>
  <sheetData>
    <row r="1" spans="1:10" x14ac:dyDescent="0.25">
      <c r="A1" s="36" t="s">
        <v>99</v>
      </c>
      <c r="B1" s="65" t="s">
        <v>98</v>
      </c>
      <c r="C1" s="66"/>
      <c r="D1" s="67"/>
      <c r="E1" s="65" t="s">
        <v>124</v>
      </c>
      <c r="F1" s="67"/>
      <c r="G1" s="36" t="s">
        <v>100</v>
      </c>
    </row>
    <row r="2" spans="1:10" x14ac:dyDescent="0.2">
      <c r="A2" s="2" t="s">
        <v>0</v>
      </c>
      <c r="B2" s="37" t="s">
        <v>67</v>
      </c>
      <c r="C2" s="3">
        <f>2386428-14353+0+0</f>
        <v>2372075</v>
      </c>
      <c r="D2" s="4">
        <f>C2/$C$7</f>
        <v>0.4207220333782361</v>
      </c>
      <c r="E2" s="3">
        <f>0+3114120-119427+0+0</f>
        <v>2994693</v>
      </c>
      <c r="F2" s="4">
        <f>E2/$E$7</f>
        <v>0.36272177502137493</v>
      </c>
      <c r="G2" s="42"/>
    </row>
    <row r="3" spans="1:10" x14ac:dyDescent="0.2">
      <c r="A3" s="5" t="s">
        <v>1</v>
      </c>
      <c r="B3" s="38" t="s">
        <v>68</v>
      </c>
      <c r="C3" s="6">
        <f>5638105-2372075</f>
        <v>3266030</v>
      </c>
      <c r="D3" s="7">
        <f>C3/$C$7</f>
        <v>0.5792779666217639</v>
      </c>
      <c r="E3" s="57">
        <f>8256171-E2</f>
        <v>5261478</v>
      </c>
      <c r="F3" s="7">
        <f t="shared" ref="F3:F7" si="0">E3/$E$7</f>
        <v>0.63727822497862507</v>
      </c>
      <c r="G3" s="43" t="s">
        <v>89</v>
      </c>
    </row>
    <row r="4" spans="1:10" x14ac:dyDescent="0.2">
      <c r="A4" s="5" t="s">
        <v>2</v>
      </c>
      <c r="B4" s="38" t="s">
        <v>66</v>
      </c>
      <c r="C4" s="16">
        <v>227593</v>
      </c>
      <c r="D4" s="7">
        <f t="shared" ref="D4:D7" si="1">C4/$C$7</f>
        <v>4.0366931797119775E-2</v>
      </c>
      <c r="E4" s="57">
        <f>525062</f>
        <v>525062</v>
      </c>
      <c r="F4" s="7">
        <f t="shared" si="0"/>
        <v>6.3596308748934585E-2</v>
      </c>
      <c r="G4" s="43" t="s">
        <v>77</v>
      </c>
    </row>
    <row r="5" spans="1:10" x14ac:dyDescent="0.2">
      <c r="A5" s="5" t="s">
        <v>4</v>
      </c>
      <c r="B5" s="38" t="s">
        <v>64</v>
      </c>
      <c r="C5" s="6">
        <f>C3-C4-C6</f>
        <v>2772710</v>
      </c>
      <c r="D5" s="7">
        <f t="shared" si="1"/>
        <v>0.49178048298142729</v>
      </c>
      <c r="E5" s="57">
        <f>E3-E4-E6</f>
        <v>4395748</v>
      </c>
      <c r="F5" s="7">
        <f t="shared" si="0"/>
        <v>0.53241968946621865</v>
      </c>
      <c r="G5" s="43"/>
    </row>
    <row r="6" spans="1:10" x14ac:dyDescent="0.2">
      <c r="A6" s="5" t="s">
        <v>3</v>
      </c>
      <c r="B6" s="38" t="s">
        <v>65</v>
      </c>
      <c r="C6" s="16">
        <v>265727</v>
      </c>
      <c r="D6" s="7">
        <f t="shared" si="1"/>
        <v>4.7130551843216822E-2</v>
      </c>
      <c r="E6" s="57">
        <f>340668</f>
        <v>340668</v>
      </c>
      <c r="F6" s="7">
        <f t="shared" si="0"/>
        <v>4.1262226763471833E-2</v>
      </c>
      <c r="G6" s="43"/>
    </row>
    <row r="7" spans="1:10" x14ac:dyDescent="0.2">
      <c r="A7" s="8" t="s">
        <v>5</v>
      </c>
      <c r="B7" s="8"/>
      <c r="C7" s="9">
        <f>C2+C3</f>
        <v>5638105</v>
      </c>
      <c r="D7" s="10">
        <f t="shared" si="1"/>
        <v>1</v>
      </c>
      <c r="E7" s="56">
        <f>E2+E3</f>
        <v>8256171</v>
      </c>
      <c r="F7" s="10">
        <f t="shared" si="0"/>
        <v>1</v>
      </c>
      <c r="G7" s="44"/>
    </row>
    <row r="8" spans="1:10" x14ac:dyDescent="0.2">
      <c r="A8" s="2" t="s">
        <v>6</v>
      </c>
      <c r="B8" s="37" t="s">
        <v>69</v>
      </c>
      <c r="C8" s="14">
        <v>3040161</v>
      </c>
      <c r="D8" s="4">
        <f t="shared" ref="D8:D13" si="2">C8/$C$13</f>
        <v>0.53921681132224386</v>
      </c>
      <c r="E8" s="3">
        <f>3856851</f>
        <v>3856851</v>
      </c>
      <c r="F8" s="4">
        <f>E8/$E$13</f>
        <v>0.56275902944319578</v>
      </c>
      <c r="G8" s="42" t="s">
        <v>90</v>
      </c>
    </row>
    <row r="9" spans="1:10" x14ac:dyDescent="0.2">
      <c r="A9" s="5" t="s">
        <v>7</v>
      </c>
      <c r="B9" s="38" t="s">
        <v>70</v>
      </c>
      <c r="C9" s="6">
        <f>187187+1024286+0</f>
        <v>1211473</v>
      </c>
      <c r="D9" s="7">
        <f t="shared" si="2"/>
        <v>0.21487237289834085</v>
      </c>
      <c r="E9" s="57">
        <f>263662+1346484+0</f>
        <v>1610146</v>
      </c>
      <c r="F9" s="7">
        <f t="shared" ref="F9:F13" si="3">E9/$E$13</f>
        <v>0.23493886598726368</v>
      </c>
      <c r="G9" s="43"/>
    </row>
    <row r="10" spans="1:10" x14ac:dyDescent="0.2">
      <c r="A10" s="5" t="s">
        <v>8</v>
      </c>
      <c r="B10" s="38" t="s">
        <v>71</v>
      </c>
      <c r="C10" s="6">
        <f>C7-C8-C9</f>
        <v>1386471</v>
      </c>
      <c r="D10" s="7">
        <f t="shared" si="2"/>
        <v>0.24591081577941526</v>
      </c>
      <c r="E10" s="57">
        <f>C7-C8-C9</f>
        <v>1386471</v>
      </c>
      <c r="F10" s="7">
        <f t="shared" si="3"/>
        <v>0.20230210456954056</v>
      </c>
      <c r="G10" s="43"/>
      <c r="J10" s="55"/>
    </row>
    <row r="11" spans="1:10" x14ac:dyDescent="0.2">
      <c r="A11" s="5" t="s">
        <v>72</v>
      </c>
      <c r="B11" s="38" t="s">
        <v>74</v>
      </c>
      <c r="C11" s="6">
        <f>C8+C9</f>
        <v>4251634</v>
      </c>
      <c r="D11" s="7">
        <f t="shared" si="2"/>
        <v>0.7540891842205848</v>
      </c>
      <c r="E11" s="57">
        <f>E8+E9</f>
        <v>5466997</v>
      </c>
      <c r="F11" s="7">
        <f t="shared" si="3"/>
        <v>0.79769789543045944</v>
      </c>
      <c r="G11" s="43" t="s">
        <v>91</v>
      </c>
      <c r="J11" s="55"/>
    </row>
    <row r="12" spans="1:10" x14ac:dyDescent="0.2">
      <c r="A12" s="5" t="s">
        <v>9</v>
      </c>
      <c r="B12" s="38" t="s">
        <v>73</v>
      </c>
      <c r="C12" s="6">
        <f>C9+C10</f>
        <v>2597944</v>
      </c>
      <c r="D12" s="7">
        <f t="shared" si="2"/>
        <v>0.46078318867775608</v>
      </c>
      <c r="E12" s="57">
        <f>E9+E10</f>
        <v>2996617</v>
      </c>
      <c r="F12" s="7">
        <f t="shared" si="3"/>
        <v>0.43724097055680422</v>
      </c>
      <c r="G12" s="43"/>
    </row>
    <row r="13" spans="1:10" x14ac:dyDescent="0.2">
      <c r="A13" s="8" t="s">
        <v>10</v>
      </c>
      <c r="B13" s="8"/>
      <c r="C13" s="9">
        <f>C8+C9+C10</f>
        <v>5638105</v>
      </c>
      <c r="D13" s="10">
        <f t="shared" si="2"/>
        <v>1</v>
      </c>
      <c r="E13" s="56">
        <f>E8+E9+E10</f>
        <v>6853468</v>
      </c>
      <c r="F13" s="10">
        <f t="shared" si="3"/>
        <v>1</v>
      </c>
      <c r="G13" s="44"/>
    </row>
    <row r="14" spans="1:10" x14ac:dyDescent="0.2">
      <c r="A14" s="11" t="s">
        <v>30</v>
      </c>
      <c r="B14" s="39" t="s">
        <v>79</v>
      </c>
      <c r="C14" s="12">
        <f>C12/C8</f>
        <v>0.85454158513315581</v>
      </c>
      <c r="D14" s="13"/>
      <c r="E14" s="12">
        <f>E12/E8</f>
        <v>0.77695949363872241</v>
      </c>
      <c r="F14" s="13"/>
      <c r="G14" s="45" t="s">
        <v>92</v>
      </c>
    </row>
    <row r="15" spans="1:10" x14ac:dyDescent="0.2">
      <c r="A15" s="2" t="s">
        <v>11</v>
      </c>
      <c r="B15" s="37" t="s">
        <v>80</v>
      </c>
      <c r="C15" s="14">
        <f>C8-C2</f>
        <v>668086</v>
      </c>
      <c r="D15" s="15"/>
      <c r="E15" s="58">
        <f>E8-E2</f>
        <v>862158</v>
      </c>
      <c r="F15" s="15"/>
      <c r="G15" s="42" t="s">
        <v>75</v>
      </c>
    </row>
    <row r="16" spans="1:10" x14ac:dyDescent="0.2">
      <c r="A16" s="5" t="s">
        <v>12</v>
      </c>
      <c r="B16" s="38" t="s">
        <v>81</v>
      </c>
      <c r="C16" s="16">
        <f>C5+C6-C10</f>
        <v>1651966</v>
      </c>
      <c r="D16" s="17"/>
      <c r="E16" s="59">
        <f>E5+E6-E10</f>
        <v>3349945</v>
      </c>
      <c r="F16" s="17"/>
      <c r="G16" s="43" t="s">
        <v>76</v>
      </c>
    </row>
    <row r="17" spans="1:12" x14ac:dyDescent="0.2">
      <c r="A17" s="8" t="s">
        <v>13</v>
      </c>
      <c r="B17" s="40" t="s">
        <v>82</v>
      </c>
      <c r="C17" s="18">
        <f>C3-C10</f>
        <v>1879559</v>
      </c>
      <c r="D17" s="19"/>
      <c r="E17" s="60">
        <f>E3-E10</f>
        <v>3875007</v>
      </c>
      <c r="F17" s="19"/>
      <c r="G17" s="44"/>
    </row>
    <row r="18" spans="1:12" x14ac:dyDescent="0.2">
      <c r="A18" s="2" t="s">
        <v>14</v>
      </c>
      <c r="B18" s="37" t="s">
        <v>83</v>
      </c>
      <c r="C18" s="20">
        <f>C3/C10</f>
        <v>2.355642490899557</v>
      </c>
      <c r="D18" s="15"/>
      <c r="E18" s="53">
        <f>E3/E10</f>
        <v>3.7948705742853619</v>
      </c>
      <c r="F18" s="15"/>
      <c r="G18" s="42" t="s">
        <v>130</v>
      </c>
    </row>
    <row r="19" spans="1:12" x14ac:dyDescent="0.2">
      <c r="A19" s="5" t="s">
        <v>15</v>
      </c>
      <c r="B19" s="38" t="s">
        <v>84</v>
      </c>
      <c r="C19" s="31">
        <f>(C5+C6)/C10</f>
        <v>2.1914897606945982</v>
      </c>
      <c r="D19" s="17"/>
      <c r="E19" s="54">
        <f>(E5+E6)/E10</f>
        <v>3.4161666562084601</v>
      </c>
      <c r="F19" s="17"/>
      <c r="G19" s="44" t="s">
        <v>115</v>
      </c>
    </row>
    <row r="20" spans="1:12" x14ac:dyDescent="0.2">
      <c r="A20" s="2" t="s">
        <v>16</v>
      </c>
      <c r="B20" s="37" t="s">
        <v>88</v>
      </c>
      <c r="C20" s="3">
        <f>3120929-194840-77839+344-1414925-680987-144783-24789</f>
        <v>583110</v>
      </c>
      <c r="D20" s="4">
        <f>C20/3120929</f>
        <v>0.18683859837888014</v>
      </c>
      <c r="E20" s="3">
        <f>5136269-347763+60144+51387-3211974-736400-138029-8350</f>
        <v>805284</v>
      </c>
      <c r="F20" s="4">
        <f>E20/5136269</f>
        <v>0.15678384445985988</v>
      </c>
      <c r="G20" s="42" t="s">
        <v>95</v>
      </c>
    </row>
    <row r="21" spans="1:12" x14ac:dyDescent="0.2">
      <c r="A21" s="5" t="s">
        <v>17</v>
      </c>
      <c r="B21" s="38" t="s">
        <v>85</v>
      </c>
      <c r="C21" s="16">
        <f>C20-455419</f>
        <v>127691</v>
      </c>
      <c r="D21" s="7">
        <f t="shared" ref="D21:D22" si="4">C21/3120929</f>
        <v>4.0914420033265737E-2</v>
      </c>
      <c r="E21" s="16">
        <f>E20-624885</f>
        <v>180399</v>
      </c>
      <c r="F21" s="7">
        <f t="shared" ref="F21:F23" si="5">E21/5136269</f>
        <v>3.5122576329238209E-2</v>
      </c>
      <c r="G21" s="43"/>
    </row>
    <row r="22" spans="1:12" x14ac:dyDescent="0.2">
      <c r="A22" s="5" t="s">
        <v>18</v>
      </c>
      <c r="B22" s="38" t="s">
        <v>86</v>
      </c>
      <c r="C22" s="16">
        <f>C21-164312-51754-0</f>
        <v>-88375</v>
      </c>
      <c r="D22" s="7">
        <f t="shared" si="4"/>
        <v>-2.8316888977608912E-2</v>
      </c>
      <c r="E22" s="16">
        <f>E21-170921-72531-0</f>
        <v>-63053</v>
      </c>
      <c r="F22" s="7">
        <f t="shared" si="5"/>
        <v>-1.2276031492898834E-2</v>
      </c>
      <c r="G22" s="43" t="s">
        <v>93</v>
      </c>
    </row>
    <row r="23" spans="1:12" x14ac:dyDescent="0.2">
      <c r="A23" s="32" t="s">
        <v>78</v>
      </c>
      <c r="B23" s="32" t="s">
        <v>87</v>
      </c>
      <c r="C23" s="9">
        <f>307085-107042</f>
        <v>200043</v>
      </c>
      <c r="D23" s="10">
        <f>C23/3120929</f>
        <v>6.4097260783567964E-2</v>
      </c>
      <c r="E23" s="9">
        <f>431122-117415</f>
        <v>313707</v>
      </c>
      <c r="F23" s="10">
        <f t="shared" si="5"/>
        <v>6.1076824442022018E-2</v>
      </c>
      <c r="G23" s="44" t="s">
        <v>94</v>
      </c>
      <c r="L23" s="55"/>
    </row>
    <row r="24" spans="1:12" x14ac:dyDescent="0.2">
      <c r="A24" s="2" t="s">
        <v>19</v>
      </c>
      <c r="B24" s="37" t="s">
        <v>126</v>
      </c>
      <c r="C24" s="22">
        <f>247897/2/(1419925+24789)*365</f>
        <v>31.314988641350467</v>
      </c>
      <c r="D24" s="23">
        <f>365/C24</f>
        <v>11.655760255267309</v>
      </c>
      <c r="E24" s="68">
        <f>(24789+33139)/2/(3211974+8350)*365</f>
        <v>3.2828560107616496</v>
      </c>
      <c r="F24" s="23">
        <f>365/E24</f>
        <v>111.18367628780557</v>
      </c>
      <c r="G24" s="33"/>
    </row>
    <row r="25" spans="1:12" x14ac:dyDescent="0.2">
      <c r="A25" s="5" t="s">
        <v>20</v>
      </c>
      <c r="B25" s="38" t="s">
        <v>127</v>
      </c>
      <c r="C25" s="24">
        <f>280185/(1414925+680987)*365</f>
        <v>48.793806705625045</v>
      </c>
      <c r="D25" s="25">
        <f t="shared" ref="D25:D28" si="6">365/C25</f>
        <v>7.4804575548298446</v>
      </c>
      <c r="E25" s="69">
        <f>1066300/(3211974+736400)*365</f>
        <v>98.572095753847037</v>
      </c>
      <c r="F25" s="25">
        <f>365/E25</f>
        <v>3.7028734877614178</v>
      </c>
      <c r="G25" s="34"/>
    </row>
    <row r="26" spans="1:12" x14ac:dyDescent="0.2">
      <c r="A26" s="5" t="s">
        <v>48</v>
      </c>
      <c r="B26" s="38" t="s">
        <v>128</v>
      </c>
      <c r="C26" s="24">
        <f>(8119+48604)/2/3044011*365</f>
        <v>3.4007589000171157</v>
      </c>
      <c r="D26" s="25">
        <f t="shared" si="6"/>
        <v>107.32898471519489</v>
      </c>
      <c r="E26" s="69">
        <f>(48604+134608)/2/5080505*365</f>
        <v>6.5812729246403654</v>
      </c>
      <c r="F26" s="25">
        <f t="shared" ref="F26:F28" si="7">365/E26</f>
        <v>55.460395607274634</v>
      </c>
      <c r="G26" s="34"/>
    </row>
    <row r="27" spans="1:12" x14ac:dyDescent="0.2">
      <c r="A27" s="5" t="s">
        <v>7</v>
      </c>
      <c r="B27" s="38" t="s">
        <v>129</v>
      </c>
      <c r="C27" s="24">
        <f>(120278+274633)/2/3044011*365</f>
        <v>23.676411648972362</v>
      </c>
      <c r="D27" s="25">
        <f t="shared" si="6"/>
        <v>15.416187444766035</v>
      </c>
      <c r="E27" s="69">
        <f>(274633+536392)/2/5080505*365</f>
        <v>29.13333664665225</v>
      </c>
      <c r="F27" s="25">
        <f t="shared" si="7"/>
        <v>12.528602694121638</v>
      </c>
      <c r="G27" s="34"/>
    </row>
    <row r="28" spans="1:12" x14ac:dyDescent="0.2">
      <c r="A28" s="5" t="s">
        <v>21</v>
      </c>
      <c r="B28" s="38" t="s">
        <v>131</v>
      </c>
      <c r="C28" s="24">
        <f>577043/3120929*365</f>
        <v>67.486538463387021</v>
      </c>
      <c r="D28" s="25">
        <f t="shared" si="6"/>
        <v>5.4084860227054135</v>
      </c>
      <c r="E28" s="69">
        <f>990644/5136269*365</f>
        <v>70.398388402165068</v>
      </c>
      <c r="F28" s="25">
        <f t="shared" si="7"/>
        <v>5.1847777809182718</v>
      </c>
      <c r="G28" s="34"/>
    </row>
    <row r="29" spans="1:12" x14ac:dyDescent="0.2">
      <c r="A29" s="5" t="s">
        <v>43</v>
      </c>
      <c r="B29" s="5" t="s">
        <v>137</v>
      </c>
      <c r="C29" s="24">
        <f>C24+C26+C27</f>
        <v>58.392159190339946</v>
      </c>
      <c r="D29" s="17"/>
      <c r="E29" s="69">
        <f>E24+E26+E27</f>
        <v>38.997465582054261</v>
      </c>
      <c r="F29" s="17"/>
      <c r="G29" s="34" t="s">
        <v>133</v>
      </c>
    </row>
    <row r="30" spans="1:12" x14ac:dyDescent="0.2">
      <c r="A30" s="8" t="s">
        <v>44</v>
      </c>
      <c r="B30" s="8" t="s">
        <v>138</v>
      </c>
      <c r="C30" s="26">
        <f>C29-C25+C28</f>
        <v>77.084890948101929</v>
      </c>
      <c r="D30" s="19"/>
      <c r="E30" s="70">
        <f>E29-E25+E28</f>
        <v>10.823758230372292</v>
      </c>
      <c r="F30" s="19"/>
      <c r="G30" s="35" t="s">
        <v>134</v>
      </c>
    </row>
    <row r="31" spans="1:12" x14ac:dyDescent="0.2">
      <c r="A31" s="2" t="s">
        <v>26</v>
      </c>
      <c r="B31" s="37" t="s">
        <v>139</v>
      </c>
      <c r="C31" s="3">
        <f>5638105-1854355-485106-265727</f>
        <v>3032917</v>
      </c>
      <c r="D31" s="15"/>
      <c r="E31" s="3">
        <f>8256171-2467212-1280467-340668</f>
        <v>4167824</v>
      </c>
      <c r="F31" s="15"/>
      <c r="G31" s="33"/>
    </row>
    <row r="32" spans="1:12" x14ac:dyDescent="0.2">
      <c r="A32" s="5" t="s">
        <v>22</v>
      </c>
      <c r="B32" s="5" t="s">
        <v>140</v>
      </c>
      <c r="C32" s="27">
        <f>C22/C31</f>
        <v>-2.9138614739539527E-2</v>
      </c>
      <c r="D32" s="17"/>
      <c r="E32" s="27">
        <f>E22/E31</f>
        <v>-1.5128517902867299E-2</v>
      </c>
      <c r="F32" s="17"/>
      <c r="G32" s="34" t="s">
        <v>135</v>
      </c>
    </row>
    <row r="33" spans="1:7" x14ac:dyDescent="0.2">
      <c r="A33" s="5" t="s">
        <v>23</v>
      </c>
      <c r="B33" s="5" t="s">
        <v>141</v>
      </c>
      <c r="C33" s="27">
        <f>D22</f>
        <v>-2.8316888977608912E-2</v>
      </c>
      <c r="D33" s="17"/>
      <c r="E33" s="27">
        <f>F22</f>
        <v>-1.2276031492898834E-2</v>
      </c>
      <c r="F33" s="17"/>
      <c r="G33" s="34"/>
    </row>
    <row r="34" spans="1:7" x14ac:dyDescent="0.2">
      <c r="A34" s="5" t="s">
        <v>24</v>
      </c>
      <c r="B34" s="5" t="s">
        <v>142</v>
      </c>
      <c r="C34" s="28">
        <f>3120929/C31</f>
        <v>1.029018927982533</v>
      </c>
      <c r="D34" s="17"/>
      <c r="E34" s="28">
        <f>5136269/E31</f>
        <v>1.2323622590589238</v>
      </c>
      <c r="F34" s="17"/>
      <c r="G34" s="34"/>
    </row>
    <row r="35" spans="1:7" x14ac:dyDescent="0.2">
      <c r="A35" s="5" t="s">
        <v>25</v>
      </c>
      <c r="B35" s="5" t="s">
        <v>143</v>
      </c>
      <c r="C35" s="28">
        <f>3120929/5638105</f>
        <v>0.55354219192441434</v>
      </c>
      <c r="D35" s="17"/>
      <c r="E35" s="28">
        <f>5136269/8256171</f>
        <v>0.62211272029128273</v>
      </c>
      <c r="F35" s="17"/>
      <c r="G35" s="34"/>
    </row>
    <row r="36" spans="1:7" x14ac:dyDescent="0.2">
      <c r="A36" s="5" t="s">
        <v>55</v>
      </c>
      <c r="B36" s="5" t="s">
        <v>144</v>
      </c>
      <c r="C36" s="27">
        <f>(111668+183624+124262)/5638105</f>
        <v>7.4414009671689332E-2</v>
      </c>
      <c r="D36" s="17"/>
      <c r="E36" s="27">
        <f>(250654+67070+114482)/8256171</f>
        <v>5.2349448672998657E-2</v>
      </c>
      <c r="F36" s="17"/>
      <c r="G36" s="34" t="s">
        <v>136</v>
      </c>
    </row>
    <row r="37" spans="1:7" x14ac:dyDescent="0.2">
      <c r="A37" s="5" t="s">
        <v>56</v>
      </c>
      <c r="B37" s="5" t="s">
        <v>145</v>
      </c>
      <c r="C37" s="27">
        <f>489140/3040161</f>
        <v>0.16089279482237948</v>
      </c>
      <c r="D37" s="17"/>
      <c r="E37" s="27">
        <f>126190/3856851</f>
        <v>3.2718401618315046E-2</v>
      </c>
      <c r="F37" s="17"/>
      <c r="G37" s="34" t="s">
        <v>146</v>
      </c>
    </row>
    <row r="38" spans="1:7" x14ac:dyDescent="0.2">
      <c r="A38" s="5" t="s">
        <v>57</v>
      </c>
      <c r="B38" s="5" t="s">
        <v>147</v>
      </c>
      <c r="C38" s="27">
        <f>212686/(2080549-280185)</f>
        <v>0.11813499936679471</v>
      </c>
      <c r="D38" s="17"/>
      <c r="E38" s="27">
        <f>229467/(3624436-1066300)</f>
        <v>8.9700860313916067E-2</v>
      </c>
      <c r="F38" s="17"/>
      <c r="G38" s="34"/>
    </row>
    <row r="39" spans="1:7" x14ac:dyDescent="0.2">
      <c r="A39" s="5" t="s">
        <v>61</v>
      </c>
      <c r="B39" s="5" t="s">
        <v>148</v>
      </c>
      <c r="C39" s="27">
        <f>212686/C12</f>
        <v>8.1867045633008256E-2</v>
      </c>
      <c r="D39" s="17"/>
      <c r="E39" s="27">
        <f>229467/E12</f>
        <v>7.657535147134252E-2</v>
      </c>
      <c r="F39" s="17"/>
      <c r="G39" s="34"/>
    </row>
    <row r="40" spans="1:7" x14ac:dyDescent="0.2">
      <c r="A40" s="8" t="s">
        <v>63</v>
      </c>
      <c r="B40" s="8" t="s">
        <v>149</v>
      </c>
      <c r="C40" s="29">
        <f>C37*D9+C39*D12</f>
        <v>7.2294374940135464E-2</v>
      </c>
      <c r="D40" s="19"/>
      <c r="E40" s="29">
        <f>E37*F8+E39*F12</f>
        <v>5.189445693771387E-2</v>
      </c>
      <c r="F40" s="19"/>
      <c r="G40" s="35"/>
    </row>
  </sheetData>
  <mergeCells count="2">
    <mergeCell ref="B1:D1"/>
    <mergeCell ref="E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/>
  </sheetViews>
  <sheetFormatPr defaultRowHeight="12" x14ac:dyDescent="0.25"/>
  <cols>
    <col min="1" max="1" width="8.7109375" style="30" bestFit="1" customWidth="1"/>
    <col min="2" max="2" width="11.7109375" style="30" bestFit="1" customWidth="1"/>
    <col min="3" max="3" width="8.28515625" style="30" bestFit="1" customWidth="1"/>
    <col min="4" max="4" width="12.28515625" style="30" bestFit="1" customWidth="1"/>
    <col min="5" max="5" width="10" style="30" bestFit="1" customWidth="1"/>
    <col min="6" max="6" width="49.85546875" style="30" bestFit="1" customWidth="1"/>
    <col min="7" max="16384" width="9.140625" style="30"/>
  </cols>
  <sheetData>
    <row r="1" spans="1:9" x14ac:dyDescent="0.25">
      <c r="A1" s="71" t="s">
        <v>150</v>
      </c>
      <c r="B1" s="65" t="s">
        <v>152</v>
      </c>
      <c r="C1" s="67"/>
      <c r="D1" s="65" t="s">
        <v>151</v>
      </c>
      <c r="E1" s="67"/>
      <c r="F1" s="36" t="s">
        <v>100</v>
      </c>
    </row>
    <row r="2" spans="1:9" x14ac:dyDescent="0.2">
      <c r="A2" s="2" t="s">
        <v>0</v>
      </c>
      <c r="B2" s="72">
        <f>9631719011+5038867</f>
        <v>9636757878</v>
      </c>
      <c r="C2" s="4">
        <f>B2/$B$7</f>
        <v>0.75930487731821195</v>
      </c>
      <c r="D2" s="3">
        <f>8841899002+4226314</f>
        <v>8846125316</v>
      </c>
      <c r="E2" s="4">
        <f>D2/$D$7</f>
        <v>0.7850745012593987</v>
      </c>
      <c r="F2" s="42" t="s">
        <v>153</v>
      </c>
    </row>
    <row r="3" spans="1:9" x14ac:dyDescent="0.2">
      <c r="A3" s="5" t="s">
        <v>1</v>
      </c>
      <c r="B3" s="57">
        <f>12691552716-B2</f>
        <v>3054794838</v>
      </c>
      <c r="C3" s="7">
        <f>B3/$B$7</f>
        <v>0.24069512268178803</v>
      </c>
      <c r="D3" s="57">
        <f>11267880057-D2</f>
        <v>2421754741</v>
      </c>
      <c r="E3" s="7">
        <f t="shared" ref="E3:E7" si="0">D3/$D$7</f>
        <v>0.2149254987406013</v>
      </c>
      <c r="F3" s="43"/>
    </row>
    <row r="4" spans="1:9" x14ac:dyDescent="0.2">
      <c r="A4" s="5" t="s">
        <v>2</v>
      </c>
      <c r="B4" s="59">
        <v>701759103</v>
      </c>
      <c r="C4" s="7">
        <f t="shared" ref="C4:C7" si="1">B4/$B$7</f>
        <v>5.5293400161771034E-2</v>
      </c>
      <c r="D4" s="57">
        <v>660013006</v>
      </c>
      <c r="E4" s="7">
        <f t="shared" si="0"/>
        <v>5.8574727691565805E-2</v>
      </c>
      <c r="F4" s="43" t="s">
        <v>154</v>
      </c>
    </row>
    <row r="5" spans="1:9" x14ac:dyDescent="0.2">
      <c r="A5" s="5" t="s">
        <v>4</v>
      </c>
      <c r="B5" s="57">
        <f>B3-B4-B6</f>
        <v>2315252021</v>
      </c>
      <c r="C5" s="7">
        <f t="shared" si="1"/>
        <v>0.18242464675588557</v>
      </c>
      <c r="D5" s="57">
        <f>D3-D4-D6</f>
        <v>1705841588</v>
      </c>
      <c r="E5" s="7">
        <f t="shared" si="0"/>
        <v>0.15138975382865136</v>
      </c>
      <c r="F5" s="43"/>
    </row>
    <row r="6" spans="1:9" x14ac:dyDescent="0.2">
      <c r="A6" s="5" t="s">
        <v>3</v>
      </c>
      <c r="B6" s="59">
        <v>37783714</v>
      </c>
      <c r="C6" s="7">
        <f t="shared" si="1"/>
        <v>2.9770757641314279E-3</v>
      </c>
      <c r="D6" s="57">
        <v>55900147</v>
      </c>
      <c r="E6" s="7">
        <f t="shared" si="0"/>
        <v>4.9610172203841379E-3</v>
      </c>
      <c r="F6" s="43"/>
    </row>
    <row r="7" spans="1:9" x14ac:dyDescent="0.2">
      <c r="A7" s="8" t="s">
        <v>5</v>
      </c>
      <c r="B7" s="56">
        <f>B2+B3</f>
        <v>12691552716</v>
      </c>
      <c r="C7" s="10">
        <f t="shared" si="1"/>
        <v>1</v>
      </c>
      <c r="D7" s="56">
        <f>D2+D3</f>
        <v>11267880057</v>
      </c>
      <c r="E7" s="10">
        <f t="shared" si="0"/>
        <v>1</v>
      </c>
      <c r="F7" s="44"/>
    </row>
    <row r="8" spans="1:9" x14ac:dyDescent="0.2">
      <c r="A8" s="2" t="s">
        <v>6</v>
      </c>
      <c r="B8" s="58">
        <v>1809599654</v>
      </c>
      <c r="C8" s="4">
        <f t="shared" ref="C8:C13" si="2">B8/$B$13</f>
        <v>0.14258299945590361</v>
      </c>
      <c r="D8" s="3">
        <v>1168852403</v>
      </c>
      <c r="E8" s="4">
        <f>D8/$D$13</f>
        <v>9.5294176732976507E-2</v>
      </c>
      <c r="F8" s="42" t="s">
        <v>155</v>
      </c>
    </row>
    <row r="9" spans="1:9" x14ac:dyDescent="0.2">
      <c r="A9" s="5" t="s">
        <v>7</v>
      </c>
      <c r="B9" s="57">
        <f>1348578354+3292400000+2325000000+0</f>
        <v>6965978354</v>
      </c>
      <c r="C9" s="7">
        <f t="shared" si="2"/>
        <v>0.54886730645795001</v>
      </c>
      <c r="D9" s="57">
        <f>1563500377+3292400000+2325000000</f>
        <v>7180900377</v>
      </c>
      <c r="E9" s="7">
        <f t="shared" ref="E9:E13" si="3">D9/$D$13</f>
        <v>0.58544431090820592</v>
      </c>
      <c r="F9" s="43"/>
    </row>
    <row r="10" spans="1:9" x14ac:dyDescent="0.2">
      <c r="A10" s="5" t="s">
        <v>8</v>
      </c>
      <c r="B10" s="57">
        <f>B7-B8-B9</f>
        <v>3915974708</v>
      </c>
      <c r="C10" s="7">
        <f t="shared" si="2"/>
        <v>0.30854969408614635</v>
      </c>
      <c r="D10" s="57">
        <f>B7-B8-B9</f>
        <v>3915974708</v>
      </c>
      <c r="E10" s="7">
        <f t="shared" si="3"/>
        <v>0.31926151235881756</v>
      </c>
      <c r="F10" s="43"/>
      <c r="I10" s="55"/>
    </row>
    <row r="11" spans="1:9" x14ac:dyDescent="0.2">
      <c r="A11" s="5" t="s">
        <v>72</v>
      </c>
      <c r="B11" s="57">
        <f>B8+B9</f>
        <v>8775578008</v>
      </c>
      <c r="C11" s="7">
        <f t="shared" si="2"/>
        <v>0.69145030591385359</v>
      </c>
      <c r="D11" s="57">
        <f>D8+D9</f>
        <v>8349752780</v>
      </c>
      <c r="E11" s="7">
        <f t="shared" si="3"/>
        <v>0.6807384876411825</v>
      </c>
      <c r="F11" s="43" t="s">
        <v>156</v>
      </c>
      <c r="I11" s="55"/>
    </row>
    <row r="12" spans="1:9" x14ac:dyDescent="0.2">
      <c r="A12" s="5" t="s">
        <v>9</v>
      </c>
      <c r="B12" s="57">
        <f>B9+B10</f>
        <v>10881953062</v>
      </c>
      <c r="C12" s="7">
        <f t="shared" si="2"/>
        <v>0.85741700054409642</v>
      </c>
      <c r="D12" s="57">
        <f>D9+D10</f>
        <v>11096875085</v>
      </c>
      <c r="E12" s="7">
        <f t="shared" si="3"/>
        <v>0.90470582326702353</v>
      </c>
      <c r="F12" s="43"/>
    </row>
    <row r="13" spans="1:9" x14ac:dyDescent="0.2">
      <c r="A13" s="8" t="s">
        <v>10</v>
      </c>
      <c r="B13" s="56">
        <f>B8+B9+B10</f>
        <v>12691552716</v>
      </c>
      <c r="C13" s="10">
        <f t="shared" si="2"/>
        <v>1</v>
      </c>
      <c r="D13" s="56">
        <f>D8+D9+D10</f>
        <v>12265727488</v>
      </c>
      <c r="E13" s="10">
        <f t="shared" si="3"/>
        <v>1</v>
      </c>
      <c r="F13" s="44"/>
    </row>
    <row r="14" spans="1:9" x14ac:dyDescent="0.2">
      <c r="A14" s="11" t="s">
        <v>30</v>
      </c>
      <c r="B14" s="73">
        <f>B12/B8</f>
        <v>6.0134588542532956</v>
      </c>
      <c r="C14" s="13"/>
      <c r="D14" s="12">
        <f>D12/D8</f>
        <v>9.4938206539324703</v>
      </c>
      <c r="E14" s="13"/>
      <c r="F14" s="45" t="s">
        <v>105</v>
      </c>
    </row>
    <row r="15" spans="1:9" x14ac:dyDescent="0.2">
      <c r="A15" s="2" t="s">
        <v>11</v>
      </c>
      <c r="B15" s="58">
        <f>B8-B2</f>
        <v>-7827158224</v>
      </c>
      <c r="C15" s="15"/>
      <c r="D15" s="58">
        <f>D8-D2</f>
        <v>-7677272913</v>
      </c>
      <c r="E15" s="15"/>
      <c r="F15" s="42" t="s">
        <v>106</v>
      </c>
    </row>
    <row r="16" spans="1:9" x14ac:dyDescent="0.2">
      <c r="A16" s="5" t="s">
        <v>12</v>
      </c>
      <c r="B16" s="59">
        <f>B5+B6-B10</f>
        <v>-1562938973</v>
      </c>
      <c r="C16" s="17"/>
      <c r="D16" s="59">
        <f>D5+D6-D10</f>
        <v>-2154232973</v>
      </c>
      <c r="E16" s="17"/>
      <c r="F16" s="43" t="s">
        <v>107</v>
      </c>
    </row>
    <row r="17" spans="1:11" x14ac:dyDescent="0.2">
      <c r="A17" s="8" t="s">
        <v>13</v>
      </c>
      <c r="B17" s="60">
        <f>B3-B10</f>
        <v>-861179870</v>
      </c>
      <c r="C17" s="19"/>
      <c r="D17" s="60">
        <f>D3-D10</f>
        <v>-1494219967</v>
      </c>
      <c r="E17" s="19"/>
      <c r="F17" s="44" t="s">
        <v>157</v>
      </c>
    </row>
    <row r="18" spans="1:11" x14ac:dyDescent="0.2">
      <c r="A18" s="2" t="s">
        <v>14</v>
      </c>
      <c r="B18" s="74">
        <f>B3/B10</f>
        <v>0.7800854361391345</v>
      </c>
      <c r="C18" s="15"/>
      <c r="D18" s="53">
        <f>D3/D10</f>
        <v>0.61842961754900083</v>
      </c>
      <c r="E18" s="15"/>
      <c r="F18" s="42" t="s">
        <v>109</v>
      </c>
    </row>
    <row r="19" spans="1:11" x14ac:dyDescent="0.2">
      <c r="A19" s="5" t="s">
        <v>15</v>
      </c>
      <c r="B19" s="75">
        <f>(B5+B6)/B10</f>
        <v>0.60088123914410119</v>
      </c>
      <c r="C19" s="17"/>
      <c r="D19" s="54">
        <f>(D5+D6)/D10</f>
        <v>0.44988588189829543</v>
      </c>
      <c r="E19" s="17"/>
      <c r="F19" s="44" t="s">
        <v>115</v>
      </c>
    </row>
    <row r="20" spans="1:11" x14ac:dyDescent="0.2">
      <c r="A20" s="2" t="s">
        <v>16</v>
      </c>
      <c r="B20" s="72">
        <f>5434354513+2816045+368458573-451773214-2060816454-139630555+34572788</f>
        <v>3187981696</v>
      </c>
      <c r="C20" s="4">
        <f>B20/5434354513</f>
        <v>0.58663484106046948</v>
      </c>
      <c r="D20" s="3">
        <f>5636715623-121115+382089338-518080044-2084806717-161405693+11439020</f>
        <v>3265830412</v>
      </c>
      <c r="E20" s="4">
        <f>D20/5636715623</f>
        <v>0.57938534253424767</v>
      </c>
      <c r="F20" s="42" t="s">
        <v>158</v>
      </c>
    </row>
    <row r="21" spans="1:11" x14ac:dyDescent="0.2">
      <c r="A21" s="5" t="s">
        <v>17</v>
      </c>
      <c r="B21" s="59">
        <f>B20-2378814152</f>
        <v>809167544</v>
      </c>
      <c r="C21" s="7">
        <f t="shared" ref="C21:C23" si="4">B21/5434354513</f>
        <v>0.14889855677694908</v>
      </c>
      <c r="D21" s="16">
        <f>D20-2471556753</f>
        <v>794273659</v>
      </c>
      <c r="E21" s="7">
        <f t="shared" ref="E21:E23" si="5">D21/5636715623</f>
        <v>0.14091072037749314</v>
      </c>
      <c r="F21" s="43"/>
    </row>
    <row r="22" spans="1:11" x14ac:dyDescent="0.2">
      <c r="A22" s="5" t="s">
        <v>18</v>
      </c>
      <c r="B22" s="59">
        <f>B21-812204043-24899797</f>
        <v>-27936296</v>
      </c>
      <c r="C22" s="7">
        <f t="shared" si="4"/>
        <v>-5.1406833936157676E-3</v>
      </c>
      <c r="D22" s="16">
        <f>D21-711062616-34150850</f>
        <v>49060193</v>
      </c>
      <c r="E22" s="7">
        <f t="shared" si="5"/>
        <v>8.7036842518390077E-3</v>
      </c>
      <c r="F22" s="43" t="s">
        <v>159</v>
      </c>
    </row>
    <row r="23" spans="1:11" x14ac:dyDescent="0.2">
      <c r="A23" s="32" t="s">
        <v>78</v>
      </c>
      <c r="B23" s="56">
        <f>288396528-44285217</f>
        <v>244111311</v>
      </c>
      <c r="C23" s="10">
        <f t="shared" si="4"/>
        <v>4.4920019556331806E-2</v>
      </c>
      <c r="D23" s="9">
        <f>199793043-61919357</f>
        <v>137873686</v>
      </c>
      <c r="E23" s="10">
        <f t="shared" si="5"/>
        <v>2.44599329150865E-2</v>
      </c>
      <c r="F23" s="44"/>
      <c r="K23" s="55"/>
    </row>
    <row r="24" spans="1:11" x14ac:dyDescent="0.2">
      <c r="A24" s="2" t="s">
        <v>19</v>
      </c>
      <c r="B24" s="76">
        <f>(689117778+654544990)/2/(451773214-34572788)*365</f>
        <v>587.77134412609632</v>
      </c>
      <c r="C24" s="23">
        <f>365/B24</f>
        <v>0.62098978394852722</v>
      </c>
      <c r="D24" s="68">
        <f>654544990/(518080044-11439020)+365</f>
        <v>366.29193049712455</v>
      </c>
      <c r="E24" s="23">
        <f>365/D24</f>
        <v>0.99647294851576129</v>
      </c>
      <c r="F24" s="33"/>
    </row>
    <row r="25" spans="1:11" x14ac:dyDescent="0.2">
      <c r="A25" s="5" t="s">
        <v>20</v>
      </c>
      <c r="B25" s="77">
        <f>810382303/(451773214+2060816454)*365</f>
        <v>117.72297894962132</v>
      </c>
      <c r="C25" s="25">
        <f t="shared" ref="C25:C28" si="6">365/B25</f>
        <v>3.1004991825444637</v>
      </c>
      <c r="D25" s="69">
        <f>719104462/(518080044+2084806717)*365</f>
        <v>100.83924224546779</v>
      </c>
      <c r="E25" s="25">
        <f>365/D25</f>
        <v>3.6196225980308268</v>
      </c>
      <c r="F25" s="34"/>
    </row>
    <row r="26" spans="1:11" x14ac:dyDescent="0.2">
      <c r="A26" s="5" t="s">
        <v>48</v>
      </c>
      <c r="B26" s="77">
        <f>2816045/2/5877850644*365</f>
        <v>8.7434717829145303E-2</v>
      </c>
      <c r="C26" s="25">
        <f t="shared" si="6"/>
        <v>4174.5431227128829</v>
      </c>
      <c r="D26" s="69">
        <f>0</f>
        <v>0</v>
      </c>
      <c r="E26" s="25" t="e">
        <f t="shared" ref="E26:E28" si="7">365/D26</f>
        <v>#DIV/0!</v>
      </c>
      <c r="F26" s="34"/>
    </row>
    <row r="27" spans="1:11" x14ac:dyDescent="0.2">
      <c r="A27" s="5" t="s">
        <v>7</v>
      </c>
      <c r="B27" s="77">
        <f>56935/5877850644*365</f>
        <v>3.53552280563868E-3</v>
      </c>
      <c r="C27" s="25">
        <f>365/B27</f>
        <v>103237.91418284008</v>
      </c>
      <c r="D27" s="69">
        <f>56935/6031543009</f>
        <v>9.4395414100577796E-6</v>
      </c>
      <c r="E27" s="25">
        <f t="shared" si="7"/>
        <v>38667132.665056638</v>
      </c>
      <c r="F27" s="34"/>
    </row>
    <row r="28" spans="1:11" x14ac:dyDescent="0.2">
      <c r="A28" s="5" t="s">
        <v>21</v>
      </c>
      <c r="B28" s="77">
        <f>1846203009/5434354513*365</f>
        <v>124.00076157582103</v>
      </c>
      <c r="C28" s="25">
        <f t="shared" si="6"/>
        <v>2.9435303086974871</v>
      </c>
      <c r="D28" s="69">
        <f>1026369184/5636715623*365</f>
        <v>66.461531362587237</v>
      </c>
      <c r="E28" s="25">
        <f t="shared" si="7"/>
        <v>5.4918987347539074</v>
      </c>
      <c r="F28" s="34"/>
      <c r="K28" s="55"/>
    </row>
    <row r="29" spans="1:11" x14ac:dyDescent="0.2">
      <c r="A29" s="5" t="s">
        <v>43</v>
      </c>
      <c r="B29" s="77">
        <f>B24+B26+B27</f>
        <v>587.8623143667312</v>
      </c>
      <c r="C29" s="17"/>
      <c r="D29" s="69">
        <f>D24+D26+D27</f>
        <v>366.29193993666598</v>
      </c>
      <c r="E29" s="17"/>
      <c r="F29" s="34" t="s">
        <v>161</v>
      </c>
    </row>
    <row r="30" spans="1:11" x14ac:dyDescent="0.2">
      <c r="A30" s="8" t="s">
        <v>44</v>
      </c>
      <c r="B30" s="78">
        <f>B29-B25+B28</f>
        <v>594.14009699293092</v>
      </c>
      <c r="C30" s="19"/>
      <c r="D30" s="70">
        <f>D29-D25+D28</f>
        <v>331.91422905378545</v>
      </c>
      <c r="E30" s="19"/>
      <c r="F30" s="35" t="s">
        <v>160</v>
      </c>
    </row>
    <row r="31" spans="1:11" x14ac:dyDescent="0.2">
      <c r="A31" s="2" t="s">
        <v>26</v>
      </c>
      <c r="B31" s="72">
        <f>12691552716-87925187-37783714</f>
        <v>12565843815</v>
      </c>
      <c r="C31" s="15"/>
      <c r="D31" s="3">
        <f>11267880057-112441162-55900147</f>
        <v>11099538748</v>
      </c>
      <c r="E31" s="15"/>
      <c r="F31" s="33"/>
    </row>
    <row r="32" spans="1:11" x14ac:dyDescent="0.2">
      <c r="A32" s="5" t="s">
        <v>22</v>
      </c>
      <c r="B32" s="51">
        <f>B22/B31</f>
        <v>-2.223192999315502E-3</v>
      </c>
      <c r="C32" s="17"/>
      <c r="D32" s="27">
        <f>D22/D31</f>
        <v>4.420020877790083E-3</v>
      </c>
      <c r="E32" s="17"/>
      <c r="F32" s="34" t="s">
        <v>159</v>
      </c>
    </row>
    <row r="33" spans="1:6" x14ac:dyDescent="0.2">
      <c r="A33" s="5" t="s">
        <v>23</v>
      </c>
      <c r="B33" s="51">
        <f>C22</f>
        <v>-5.1406833936157676E-3</v>
      </c>
      <c r="C33" s="17"/>
      <c r="D33" s="27">
        <f>E22</f>
        <v>8.7036842518390077E-3</v>
      </c>
      <c r="E33" s="17"/>
      <c r="F33" s="34"/>
    </row>
    <row r="34" spans="1:6" x14ac:dyDescent="0.2">
      <c r="A34" s="5" t="s">
        <v>24</v>
      </c>
      <c r="B34" s="54">
        <f>5434354513/B31</f>
        <v>0.43247032137332037</v>
      </c>
      <c r="C34" s="17"/>
      <c r="D34" s="28">
        <f>5636715623/D31</f>
        <v>0.50783332091305744</v>
      </c>
      <c r="E34" s="17"/>
      <c r="F34" s="34" t="s">
        <v>162</v>
      </c>
    </row>
    <row r="35" spans="1:6" x14ac:dyDescent="0.2">
      <c r="A35" s="5" t="s">
        <v>25</v>
      </c>
      <c r="B35" s="54">
        <f>5434354513/12691552716</f>
        <v>0.42818673448434819</v>
      </c>
      <c r="C35" s="17"/>
      <c r="D35" s="28">
        <f>5636715623/11267880057</f>
        <v>0.50024632801254176</v>
      </c>
      <c r="E35" s="17"/>
      <c r="F35" s="34"/>
    </row>
    <row r="36" spans="1:6" x14ac:dyDescent="0.2">
      <c r="A36" s="5" t="s">
        <v>55</v>
      </c>
      <c r="B36" s="51">
        <f>(216175015+1709222+12084309)/12691552716</f>
        <v>1.8119811747705467E-2</v>
      </c>
      <c r="C36" s="17"/>
      <c r="D36" s="27">
        <f>(186933880+411894+27060635)/11267880057</f>
        <v>1.902810536812586E-2</v>
      </c>
      <c r="E36" s="17"/>
      <c r="F36" s="34" t="s">
        <v>163</v>
      </c>
    </row>
    <row r="37" spans="1:6" x14ac:dyDescent="0.2">
      <c r="A37" s="5" t="s">
        <v>56</v>
      </c>
      <c r="B37" s="51">
        <f>19641251/B8</f>
        <v>1.0853920620831419E-2</v>
      </c>
      <c r="C37" s="17"/>
      <c r="D37" s="27">
        <f>-41589921/D8</f>
        <v>-3.5581841550955853E-2</v>
      </c>
      <c r="E37" s="17"/>
      <c r="F37" s="34" t="s">
        <v>164</v>
      </c>
    </row>
    <row r="38" spans="1:6" x14ac:dyDescent="0.2">
      <c r="A38" s="5" t="s">
        <v>57</v>
      </c>
      <c r="B38" s="51">
        <f>187773352/(8833901602-810382303)</f>
        <v>2.3402866622805142E-2</v>
      </c>
      <c r="C38" s="17"/>
      <c r="D38" s="27">
        <f>308556716/(7919865826-719104462)</f>
        <v>4.2850568211108962E-2</v>
      </c>
      <c r="E38" s="17"/>
      <c r="F38" s="34" t="s">
        <v>165</v>
      </c>
    </row>
    <row r="39" spans="1:6" x14ac:dyDescent="0.2">
      <c r="A39" s="5" t="s">
        <v>61</v>
      </c>
      <c r="B39" s="51">
        <f>187773352/B12</f>
        <v>1.7255482626157278E-2</v>
      </c>
      <c r="C39" s="17"/>
      <c r="D39" s="27">
        <f>308556716/D12</f>
        <v>2.7805730319257711E-2</v>
      </c>
      <c r="E39" s="17"/>
      <c r="F39" s="34"/>
    </row>
    <row r="40" spans="1:6" x14ac:dyDescent="0.2">
      <c r="A40" s="8" t="s">
        <v>63</v>
      </c>
      <c r="B40" s="52">
        <f>B37*C9+B39*C12</f>
        <v>2.0752506331924683E-2</v>
      </c>
      <c r="C40" s="19"/>
      <c r="D40" s="29">
        <f>D37*E8+D39*E12</f>
        <v>2.1765263842783333E-2</v>
      </c>
      <c r="E40" s="19"/>
      <c r="F40" s="35"/>
    </row>
    <row r="42" spans="1:6" x14ac:dyDescent="0.25">
      <c r="B42" s="79"/>
      <c r="D42" s="79"/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marzotto</vt:lpstr>
      <vt:lpstr>olivetti</vt:lpstr>
      <vt:lpstr>trenitalia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Emilia </cp:lastModifiedBy>
  <cp:lastPrinted>2015-03-26T08:37:52Z</cp:lastPrinted>
  <dcterms:created xsi:type="dcterms:W3CDTF">2015-03-18T10:32:50Z</dcterms:created>
  <dcterms:modified xsi:type="dcterms:W3CDTF">2015-04-08T12:42:16Z</dcterms:modified>
</cp:coreProperties>
</file>